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068645" sheetId="1" state="visible" r:id="rId3"/>
  </sheets>
  <externalReferences>
    <externalReference r:id="rId4"/>
  </externalReferences>
  <definedNames>
    <definedName function="false" hidden="false" localSheetId="0" name="Excel_BuiltIn_Print_Area" vbProcedure="false">'068645'!$A$1:$O$82</definedName>
    <definedName function="false" hidden="false" localSheetId="0" name="Excel_BuiltIn__FilterDatabase" vbProcedure="false">'068645'!$A$23:$J$84</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8</xdr:rowOff>
              </xdr:from>
              <xdr:to>
                <xdr:col>8</xdr:col>
                <xdr:colOff>7</xdr:colOff>
                <xdr:row>3</xdr:row>
                <xdr:rowOff>2</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5</xdr:rowOff>
              </xdr:from>
              <xdr:to>
                <xdr:col>5</xdr:col>
                <xdr:colOff>2</xdr:colOff>
                <xdr:row>3</xdr:row>
                <xdr:rowOff>4</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5</xdr:rowOff>
              </xdr:from>
              <xdr:to>
                <xdr:col>5</xdr:col>
                <xdr:colOff>18</xdr:colOff>
                <xdr:row>9</xdr:row>
                <xdr:rowOff>3</xdr:rowOff>
              </xdr:to>
            </anchor>
          </commentPr>
        </mc:Choice>
        <mc:Fallback/>
      </mc:AlternateContent>
    </comment>
    <comment ref="B7" authorId="0">
      <text>
        <r>
          <rPr>
            <sz val="10"/>
            <rFont val="Arial"/>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17</xdr:rowOff>
              </xdr:from>
              <xdr:to>
                <xdr:col>6</xdr:col>
                <xdr:colOff>21</xdr:colOff>
                <xdr:row>6</xdr:row>
                <xdr:rowOff>12</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12</xdr:rowOff>
              </xdr:from>
              <xdr:to>
                <xdr:col>6</xdr:col>
                <xdr:colOff>21</xdr:colOff>
                <xdr:row>20</xdr:row>
                <xdr:rowOff>7</xdr:rowOff>
              </xdr:to>
            </anchor>
          </commentPr>
        </mc:Choice>
        <mc:Fallback/>
      </mc:AlternateContent>
    </comment>
    <comment ref="B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15</xdr:rowOff>
              </xdr:from>
              <xdr:to>
                <xdr:col>6</xdr:col>
                <xdr:colOff>21</xdr:colOff>
                <xdr:row>21</xdr:row>
                <xdr:rowOff>10</xdr:rowOff>
              </xdr:to>
            </anchor>
          </commentPr>
        </mc:Choice>
        <mc:Fallback/>
      </mc:AlternateContent>
    </comment>
    <comment ref="B22" authorId="0">
      <text>
        <r>
          <rPr>
            <sz val="10"/>
            <rFont val="Arial"/>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16</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8</xdr:rowOff>
              </xdr:from>
              <xdr:to>
                <xdr:col>9</xdr:col>
                <xdr:colOff>7</xdr:colOff>
                <xdr:row>3</xdr:row>
                <xdr:rowOff>2</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7</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12</xdr:rowOff>
              </xdr:from>
              <xdr:to>
                <xdr:col>6</xdr:col>
                <xdr:colOff>34</xdr:colOff>
                <xdr:row>28</xdr:row>
                <xdr:rowOff>5</xdr:rowOff>
              </xdr:to>
            </anchor>
          </commentPr>
        </mc:Choice>
        <mc:Fallback/>
      </mc:AlternateContent>
    </comment>
    <comment ref="C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15</xdr:rowOff>
              </xdr:from>
              <xdr:to>
                <xdr:col>10</xdr:col>
                <xdr:colOff>62</xdr:colOff>
                <xdr:row>20</xdr:row>
                <xdr:rowOff>12</xdr:rowOff>
              </xdr:to>
            </anchor>
          </commentPr>
        </mc:Choice>
        <mc:Fallback/>
      </mc:AlternateContent>
    </comment>
    <comment ref="C22" authorId="0">
      <text>
        <r>
          <rPr>
            <sz val="10"/>
            <rFont val="Arial"/>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24</xdr:row>
                <xdr:rowOff>5</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2</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3</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10"/>
            <rFont val="Arial"/>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6</xdr:rowOff>
              </xdr:from>
              <xdr:to>
                <xdr:col>12</xdr:col>
                <xdr:colOff>40</xdr:colOff>
                <xdr:row>11</xdr:row>
                <xdr:rowOff>10</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5</xdr:rowOff>
              </xdr:from>
              <xdr:to>
                <xdr:col>13</xdr:col>
                <xdr:colOff>10</xdr:colOff>
                <xdr:row>28</xdr:row>
                <xdr:rowOff>2</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sz val="10"/>
            <rFont val="Arial"/>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sz val="10"/>
            <rFont val="Arial"/>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22</xdr:row>
                <xdr:rowOff>9</xdr:rowOff>
              </xdr:to>
            </anchor>
          </commentPr>
        </mc:Choice>
        <mc:Fallback/>
      </mc:AlternateContent>
    </comment>
    <comment ref="K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4</xdr:row>
                <xdr:rowOff>16</xdr:rowOff>
              </xdr:to>
            </anchor>
          </commentPr>
        </mc:Choice>
        <mc:Fallback/>
      </mc:AlternateContent>
    </comment>
    <comment ref="K6" authorId="0">
      <text>
        <r>
          <rPr>
            <sz val="10"/>
            <rFont val="Arial"/>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7</xdr:row>
                <xdr:rowOff>1</xdr:rowOff>
              </xdr:to>
            </anchor>
          </commentPr>
        </mc:Choice>
        <mc:Fallback/>
      </mc:AlternateContent>
    </comment>
    <comment ref="K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taxa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3</xdr:row>
                <xdr:rowOff>3</xdr:rowOff>
              </xdr:to>
            </anchor>
          </commentPr>
        </mc:Choice>
        <mc:Fallback/>
      </mc:AlternateContent>
    </comment>
    <comment ref="N5" authorId="0">
      <text>
        <r>
          <rPr>
            <sz val="10"/>
            <rFont val="Arial"/>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14</xdr:rowOff>
              </xdr:from>
              <xdr:to>
                <xdr:col>14</xdr:col>
                <xdr:colOff>33</xdr:colOff>
                <xdr:row>10</xdr:row>
                <xdr:rowOff>9</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6</xdr:row>
                <xdr:rowOff>2</xdr:rowOff>
              </xdr:to>
            </anchor>
          </commentPr>
        </mc:Choice>
        <mc:Fallback/>
      </mc:AlternateContent>
    </comment>
    <comment ref="W2" authorId="0">
      <text>
        <r>
          <rPr>
            <sz val="10"/>
            <rFont val="Arial"/>
            <family val="2"/>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8</xdr:rowOff>
              </xdr:to>
            </anchor>
          </commentPr>
        </mc:Choice>
        <mc:Fallback/>
      </mc:AlternateContent>
    </comment>
    <comment ref="W4" authorId="0">
      <text>
        <r>
          <rPr>
            <sz val="10"/>
            <rFont val="Arial"/>
            <family val="2"/>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14</xdr:rowOff>
              </xdr:to>
            </anchor>
          </commentPr>
        </mc:Choice>
        <mc:Fallback/>
      </mc:AlternateContent>
    </comment>
    <comment ref="W6" authorId="0">
      <text>
        <r>
          <rPr>
            <sz val="10"/>
            <rFont val="Arial"/>
            <family val="2"/>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14</xdr:rowOff>
              </xdr:to>
            </anchor>
          </commentPr>
        </mc:Choice>
        <mc:Fallback/>
      </mc:AlternateContent>
    </comment>
    <comment ref="X5" authorId="0">
      <text>
        <r>
          <rPr>
            <sz val="10"/>
            <rFont val="Arial"/>
            <family val="2"/>
          </rPr>
          <t xml:space="preserve">Classement des taxons :
</t>
        </r>
        <r>
          <rPr>
            <sz val="8"/>
            <color rgb="FF000000"/>
            <rFont val="Tahoma"/>
            <family val="2"/>
            <charset val="1"/>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9</xdr:rowOff>
              </xdr:from>
              <xdr:to>
                <xdr:col>27</xdr:col>
                <xdr:colOff>236</xdr:colOff>
                <xdr:row>7</xdr:row>
                <xdr:rowOff>2</xdr:rowOff>
              </xdr:to>
            </anchor>
          </commentPr>
        </mc:Choice>
        <mc:Fallback/>
      </mc:AlternateContent>
    </comment>
    <comment ref="AA22" authorId="0">
      <text>
        <r>
          <rPr>
            <sz val="10"/>
            <rFont val="Arial"/>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24</xdr:row>
                <xdr:rowOff>14</xdr:rowOff>
              </xdr:to>
            </anchor>
          </commentPr>
        </mc:Choice>
        <mc:Fallback/>
      </mc:AlternateContent>
    </comment>
    <comment ref="AB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0</xdr:rowOff>
              </xdr:from>
              <xdr:to>
                <xdr:col>28</xdr:col>
                <xdr:colOff>-17</xdr:colOff>
                <xdr:row>17</xdr:row>
                <xdr:rowOff>10</xdr:rowOff>
              </xdr:to>
            </anchor>
          </commentPr>
        </mc:Choice>
        <mc:Fallback/>
      </mc:AlternateContent>
    </comment>
    <comment ref="AC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26</xdr:row>
                <xdr:rowOff>11</xdr:rowOff>
              </xdr:to>
            </anchor>
          </commentPr>
        </mc:Choice>
        <mc:Fallback/>
      </mc:AlternateContent>
    </comment>
  </commentList>
</comments>
</file>

<file path=xl/sharedStrings.xml><?xml version="1.0" encoding="utf-8"?>
<sst xmlns="http://schemas.openxmlformats.org/spreadsheetml/2006/main" count="99" uniqueCount="94">
  <si>
    <t xml:space="preserve">Relevés floristiques aquatiques - IBMR</t>
  </si>
  <si>
    <t xml:space="preserve">Formulaire modèle GIS Macrophytes v 3.3 - novembre 2013  </t>
  </si>
  <si>
    <t xml:space="preserve">EIMA</t>
  </si>
  <si>
    <t xml:space="preserve">JM FERRONI</t>
  </si>
  <si>
    <t xml:space="preserve">conforme AFNOR T90-395 oct. 2003</t>
  </si>
  <si>
    <t xml:space="preserve">MARS</t>
  </si>
  <si>
    <t xml:space="preserve">Vaulmier</t>
  </si>
  <si>
    <t xml:space="preserve">05068645</t>
  </si>
  <si>
    <t xml:space="preserve">AEAG 2013 Dordogne</t>
  </si>
  <si>
    <t xml:space="preserve">Résultats</t>
  </si>
  <si>
    <t xml:space="preserve">Robustesse:</t>
  </si>
  <si>
    <t xml:space="preserve">Unité de relevé</t>
  </si>
  <si>
    <t xml:space="preserve">UR1</t>
  </si>
  <si>
    <t xml:space="preserve">UR2</t>
  </si>
  <si>
    <t xml:space="preserve">station</t>
  </si>
  <si>
    <t xml:space="preserve">IBMR:</t>
  </si>
  <si>
    <t xml:space="preserve">GLYFLU</t>
  </si>
  <si>
    <t xml:space="preserve">Faciès dominant</t>
  </si>
  <si>
    <t xml:space="preserve">rapide</t>
  </si>
  <si>
    <t xml:space="preserve">pl. lent</t>
  </si>
  <si>
    <t xml:space="preserve">niv. trophique:</t>
  </si>
  <si>
    <t xml:space="preserve">faible</t>
  </si>
  <si>
    <t xml:space="preserve">(faible)</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</si>
  <si>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</si>
  <si>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</si>
  <si>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</si>
  <si>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</si>
  <si>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</si>
  <si>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</si>
  <si>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</si>
  <si>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</si>
  <si>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</si>
  <si>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</si>
  <si>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</si>
  <si>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</si>
  <si>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</si>
  <si>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</si>
  <si>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</si>
  <si>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</si>
  <si>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</si>
  <si>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</si>
  <si>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</si>
  <si>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</si>
  <si>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</si>
  <si>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</si>
  <si>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</si>
  <si>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</si>
  <si>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</si>
  <si>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</si>
  <si>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</si>
  <si>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</si>
  <si>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</si>
  <si>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</si>
  <si>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</si>
  <si>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</si>
  <si>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charset val="1"/>
      </rPr>
      <t xml:space="preserve">LISTE </t>
    </r>
    <r>
      <rPr>
        <i val="true"/>
        <sz val="10"/>
        <rFont val="Arial"/>
        <family val="2"/>
        <charset val="1"/>
      </rPr>
      <t xml:space="preserve">rec/faciès</t>
    </r>
  </si>
  <si>
    <t xml:space="preserve">Détail du calcul IBMR (non imprimable, non exporté)</t>
  </si>
  <si>
    <t xml:space="preserve">rec. pondéré</t>
  </si>
  <si>
    <t xml:space="preserve">voir aussi colonne BB</t>
  </si>
  <si>
    <t xml:space="preserve">CODES</t>
  </si>
  <si>
    <t xml:space="preserve">%</t>
  </si>
  <si>
    <t xml:space="preserve">% sta.</t>
  </si>
  <si>
    <t xml:space="preserve">grp</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</si>
  <si>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</si>
  <si>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</si>
  <si>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</si>
  <si>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</si>
  <si>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</si>
  <si>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</si>
  <si>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</si>
  <si>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</si>
  <si>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</si>
  <si>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</si>
  <si>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</si>
  <si>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</si>
  <si>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</si>
  <si>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</si>
  <si>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</si>
  <si>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LEASPX</t>
  </si>
  <si>
    <t xml:space="preserve">OSCSPX</t>
  </si>
  <si>
    <t xml:space="preserve">CHIPOL</t>
  </si>
  <si>
    <t xml:space="preserve">AMBFLU</t>
  </si>
  <si>
    <t xml:space="preserve">FONANT</t>
  </si>
  <si>
    <t xml:space="preserve">RHYRIP</t>
  </si>
  <si>
    <t xml:space="preserve">SCSRIV</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</si>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</sst>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7">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sz val="8"/>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FFFFFF"/>
      <name val="Arial"/>
      <family val="2"/>
      <charset val="1"/>
    </font>
    <font>
      <b val="true"/>
      <i val="true"/>
      <sz val="10"/>
      <color rgb="FFFFFFFF"/>
      <name val="Arial"/>
      <family val="2"/>
      <charset val="1"/>
    </font>
    <font>
      <sz val="8"/>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8"/>
      <color rgb="FF000000"/>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sz val="7"/>
      <name val="Arial"/>
      <family val="2"/>
      <charset val="1"/>
    </font>
    <font>
      <sz val="10"/>
      <name val="Arial"/>
      <family val="2"/>
    </font>
    <font>
      <sz val="8"/>
      <color rgb="FF000000"/>
      <name val="Tahoma"/>
      <family val="2"/>
      <charset val="1"/>
    </font>
    <font>
      <i val="true"/>
      <sz val="8"/>
      <color rgb="FF000000"/>
      <name val="Tahoma"/>
      <family val="2"/>
      <charset val="1"/>
    </font>
    <font>
      <b val="true"/>
      <sz val="8"/>
      <color rgb="FF339966"/>
      <name val="Tahoma"/>
      <family val="2"/>
      <charset val="1"/>
    </font>
    <font>
      <b val="true"/>
      <sz val="8"/>
      <color rgb="FF000000"/>
      <name val="Tahoma"/>
      <family val="2"/>
      <charset val="1"/>
    </font>
    <font>
      <sz val="8"/>
      <color rgb="FFFF0000"/>
      <name val="Tahoma"/>
      <family val="2"/>
      <charset val="1"/>
    </font>
  </fonts>
  <fills count="12">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FFFF"/>
        <bgColor rgb="FFFFFFCC"/>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99CC00"/>
        <bgColor rgb="FFFFCC00"/>
      </patternFill>
    </fill>
    <fill>
      <patternFill patternType="solid">
        <fgColor rgb="FFFF99CC"/>
        <bgColor rgb="FFFF8080"/>
      </patternFill>
    </fill>
  </fills>
  <borders count="67">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style="medium"/>
      <right/>
      <top/>
      <bottom/>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style="thin"/>
      <right/>
      <top/>
      <bottom style="thin"/>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style="thin"/>
      <right/>
      <top style="thin"/>
      <bottom/>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hair"/>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65">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2" xfId="0" applyFont="true" applyBorder="true" applyAlignment="true" applyProtection="true">
      <alignment horizontal="right" vertical="bottom" textRotation="0" wrapText="false" indent="0" shrinkToFit="false"/>
      <protection locked="true" hidden="true"/>
    </xf>
    <xf numFmtId="164" fontId="6" fillId="4"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true" applyProtection="true">
      <alignment horizontal="general" vertical="bottom" textRotation="0" wrapText="false" indent="0" shrinkToFit="false"/>
      <protection locked="true" hidden="true"/>
    </xf>
    <xf numFmtId="164" fontId="0" fillId="5" borderId="4" xfId="0" applyFont="false" applyBorder="true" applyAlignment="true" applyProtection="true">
      <alignment horizontal="general" vertical="bottom" textRotation="0" wrapText="false" indent="0" shrinkToFit="false"/>
      <protection locked="true" hidden="true"/>
    </xf>
    <xf numFmtId="164" fontId="7" fillId="5" borderId="5" xfId="0" applyFont="true" applyBorder="true" applyAlignment="true" applyProtection="true">
      <alignment horizontal="center" vertical="center" textRotation="0" wrapText="false" indent="0" shrinkToFit="false"/>
      <protection locked="true" hidden="true"/>
    </xf>
    <xf numFmtId="164" fontId="8" fillId="6" borderId="1" xfId="0" applyFont="true" applyBorder="true" applyAlignment="true" applyProtection="true">
      <alignment horizontal="left" vertical="bottom" textRotation="0" wrapText="false" indent="0" shrinkToFit="false"/>
      <protection locked="false" hidden="false"/>
    </xf>
    <xf numFmtId="164" fontId="8" fillId="6" borderId="6" xfId="0" applyFont="true" applyBorder="true" applyAlignment="true" applyProtection="true">
      <alignment horizontal="left" vertical="bottom" textRotation="0" wrapText="false" indent="0" shrinkToFit="false"/>
      <protection locked="true" hidden="false"/>
    </xf>
    <xf numFmtId="164" fontId="8" fillId="6"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6" borderId="2" xfId="0" applyFont="true" applyBorder="true" applyAlignment="true" applyProtection="true">
      <alignment horizontal="left" vertical="bottom" textRotation="0" wrapText="false" indent="0" shrinkToFit="false"/>
      <protection locked="true" hidden="false"/>
    </xf>
    <xf numFmtId="164" fontId="9" fillId="6" borderId="2" xfId="0" applyFont="true" applyBorder="true" applyAlignment="true" applyProtection="true">
      <alignment horizontal="left" vertical="bottom" textRotation="0" wrapText="false" indent="0" shrinkToFit="false"/>
      <protection locked="true" hidden="false"/>
    </xf>
    <xf numFmtId="164" fontId="8" fillId="6"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5" borderId="7" xfId="0" applyFont="false" applyBorder="true" applyAlignment="true" applyProtection="true">
      <alignment horizontal="general" vertical="bottom" textRotation="0" wrapText="false" indent="0" shrinkToFit="false"/>
      <protection locked="true" hidden="true"/>
    </xf>
    <xf numFmtId="164" fontId="0" fillId="5" borderId="8" xfId="0" applyFont="false" applyBorder="true" applyAlignment="true" applyProtection="true">
      <alignment horizontal="general" vertical="bottom" textRotation="0" wrapText="false" indent="0" shrinkToFit="false"/>
      <protection locked="true" hidden="true"/>
    </xf>
    <xf numFmtId="164" fontId="8" fillId="3" borderId="9" xfId="0" applyFont="true" applyBorder="true" applyAlignment="true" applyProtection="true">
      <alignment horizontal="general" vertical="bottom" textRotation="0" wrapText="false" indent="0" shrinkToFit="false"/>
      <protection locked="true" hidden="true"/>
    </xf>
    <xf numFmtId="164" fontId="8" fillId="6" borderId="2" xfId="0" applyFont="true" applyBorder="true" applyAlignment="true" applyProtection="true">
      <alignment horizontal="general" vertical="bottom" textRotation="0" wrapText="false" indent="0" shrinkToFit="false"/>
      <protection locked="true" hidden="true"/>
    </xf>
    <xf numFmtId="164" fontId="8" fillId="6" borderId="9"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65" fontId="8" fillId="6" borderId="10" xfId="0" applyFont="true" applyBorder="true" applyAlignment="true" applyProtection="true">
      <alignment horizontal="general" vertical="bottom" textRotation="0" wrapText="false" indent="0" shrinkToFit="false"/>
      <protection locked="false" hidden="false"/>
    </xf>
    <xf numFmtId="164" fontId="8" fillId="6" borderId="0" xfId="0" applyFont="true" applyBorder="false" applyAlignment="true" applyProtection="true">
      <alignment horizontal="general" vertical="bottom" textRotation="0" wrapText="false" indent="0" shrinkToFit="false"/>
      <protection locked="true" hidden="true"/>
    </xf>
    <xf numFmtId="164" fontId="8" fillId="6" borderId="10" xfId="0" applyFont="true" applyBorder="true" applyAlignment="true" applyProtection="true">
      <alignment horizontal="left" vertical="bottom" textRotation="0" wrapText="false" indent="0" shrinkToFit="false"/>
      <protection locked="false" hidden="false"/>
    </xf>
    <xf numFmtId="164" fontId="8" fillId="6" borderId="11" xfId="0" applyFont="true" applyBorder="true" applyAlignment="true" applyProtection="true">
      <alignment horizontal="right" vertical="bottom" textRotation="0" wrapText="false" indent="0" shrinkToFit="false"/>
      <protection locked="true" hidden="true"/>
    </xf>
    <xf numFmtId="164" fontId="8" fillId="4" borderId="3" xfId="0" applyFont="true" applyBorder="true" applyAlignment="true" applyProtection="true">
      <alignment horizontal="right" vertical="bottom" textRotation="0" wrapText="false" indent="0" shrinkToFit="false"/>
      <protection locked="true" hidden="true"/>
    </xf>
    <xf numFmtId="166" fontId="8" fillId="6" borderId="12" xfId="0" applyFont="true" applyBorder="true" applyAlignment="true" applyProtection="true">
      <alignment horizontal="left" vertical="bottom" textRotation="0" wrapText="false" indent="0" shrinkToFit="false"/>
      <protection locked="false" hidden="false"/>
    </xf>
    <xf numFmtId="164" fontId="8" fillId="7" borderId="13" xfId="0" applyFont="true" applyBorder="true" applyAlignment="true" applyProtection="true">
      <alignment horizontal="left" vertical="bottom" textRotation="0" wrapText="false" indent="0" shrinkToFit="false"/>
      <protection locked="true" hidden="true"/>
    </xf>
    <xf numFmtId="164" fontId="8" fillId="7" borderId="13" xfId="0" applyFont="true" applyBorder="true" applyAlignment="true" applyProtection="true">
      <alignment horizontal="general" vertical="bottom" textRotation="0" wrapText="false" indent="0" shrinkToFit="false"/>
      <protection locked="true" hidden="true"/>
    </xf>
    <xf numFmtId="164" fontId="8" fillId="3" borderId="13" xfId="0" applyFont="true" applyBorder="true" applyAlignment="true" applyProtection="true">
      <alignment horizontal="general" vertical="bottom" textRotation="0" wrapText="false" indent="0" shrinkToFit="false"/>
      <protection locked="true" hidden="true"/>
    </xf>
    <xf numFmtId="164" fontId="11" fillId="8" borderId="14" xfId="0" applyFont="true" applyBorder="true" applyAlignment="true" applyProtection="true">
      <alignment horizontal="general" vertical="bottom" textRotation="0" wrapText="false" indent="0" shrinkToFit="false"/>
      <protection locked="true" hidden="true"/>
    </xf>
    <xf numFmtId="164" fontId="0" fillId="8" borderId="15" xfId="0" applyFont="false" applyBorder="true" applyAlignment="true" applyProtection="true">
      <alignment horizontal="general" vertical="bottom" textRotation="0" wrapText="false" indent="0" shrinkToFit="false"/>
      <protection locked="true" hidden="true"/>
    </xf>
    <xf numFmtId="164" fontId="0" fillId="8" borderId="16" xfId="0" applyFont="false" applyBorder="true" applyAlignment="true" applyProtection="true">
      <alignment horizontal="general" vertical="bottom" textRotation="0" wrapText="false" indent="0" shrinkToFit="false"/>
      <protection locked="true" hidden="true"/>
    </xf>
    <xf numFmtId="164" fontId="12" fillId="8" borderId="16" xfId="0" applyFont="true" applyBorder="true" applyAlignment="true" applyProtection="true">
      <alignment horizontal="general" vertical="bottom" textRotation="0" wrapText="false" indent="0" shrinkToFit="false"/>
      <protection locked="true" hidden="true"/>
    </xf>
    <xf numFmtId="164" fontId="12" fillId="4" borderId="17" xfId="0" applyFont="true" applyBorder="true" applyAlignment="true" applyProtection="true">
      <alignment horizontal="general" vertical="bottom" textRotation="0" wrapText="false" indent="0" shrinkToFit="false"/>
      <protection locked="true" hidden="true"/>
    </xf>
    <xf numFmtId="164" fontId="7" fillId="5" borderId="8" xfId="0" applyFont="true" applyBorder="true" applyAlignment="true" applyProtection="true">
      <alignment horizontal="center" vertical="bottom" textRotation="0" wrapText="false" indent="0" shrinkToFit="false"/>
      <protection locked="true" hidden="true"/>
    </xf>
    <xf numFmtId="164" fontId="13" fillId="9" borderId="18" xfId="0" applyFont="true" applyBorder="true" applyAlignment="true" applyProtection="true">
      <alignment horizontal="general" vertical="bottom" textRotation="0" wrapText="false" indent="0" shrinkToFit="false"/>
      <protection locked="true" hidden="true"/>
    </xf>
    <xf numFmtId="164" fontId="8" fillId="9" borderId="19" xfId="0" applyFont="true" applyBorder="true" applyAlignment="true" applyProtection="true">
      <alignment horizontal="center" vertical="bottom" textRotation="0" wrapText="false" indent="0" shrinkToFit="false"/>
      <protection locked="true" hidden="true"/>
    </xf>
    <xf numFmtId="164" fontId="8" fillId="9"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9" borderId="0"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4" fontId="8" fillId="8" borderId="21" xfId="0" applyFont="true" applyBorder="true" applyAlignment="true" applyProtection="true">
      <alignment horizontal="left" vertical="bottom" textRotation="0" wrapText="false" indent="0" shrinkToFit="false"/>
      <protection locked="true" hidden="true"/>
    </xf>
    <xf numFmtId="164" fontId="8" fillId="8" borderId="22" xfId="0" applyFont="true" applyBorder="true" applyAlignment="true" applyProtection="true">
      <alignment horizontal="center" vertical="bottom" textRotation="0" wrapText="false" indent="0" shrinkToFit="false"/>
      <protection locked="true" hidden="true"/>
    </xf>
    <xf numFmtId="164" fontId="14" fillId="8" borderId="22" xfId="0" applyFont="true" applyBorder="true" applyAlignment="true" applyProtection="true">
      <alignment horizontal="center" vertical="bottom" textRotation="0" wrapText="false" indent="0" shrinkToFit="false"/>
      <protection locked="true" hidden="true"/>
    </xf>
    <xf numFmtId="167" fontId="15" fillId="10" borderId="23" xfId="0" applyFont="true" applyBorder="true" applyAlignment="true" applyProtection="true">
      <alignment horizontal="right" vertical="top" textRotation="0" wrapText="false" indent="0" shrinkToFit="false"/>
      <protection locked="true" hidden="true"/>
    </xf>
    <xf numFmtId="167" fontId="15" fillId="10" borderId="24" xfId="0" applyFont="true" applyBorder="true" applyAlignment="true" applyProtection="true">
      <alignment horizontal="left" vertical="top" textRotation="0" wrapText="false" indent="0" shrinkToFit="false"/>
      <protection locked="true" hidden="true"/>
    </xf>
    <xf numFmtId="167" fontId="16" fillId="10" borderId="15" xfId="0" applyFont="true" applyBorder="true" applyAlignment="true" applyProtection="true">
      <alignment horizontal="left" vertical="top" textRotation="0" wrapText="false" indent="0" shrinkToFit="false"/>
      <protection locked="true" hidden="true"/>
    </xf>
    <xf numFmtId="167" fontId="0" fillId="10" borderId="15" xfId="0" applyFont="true" applyBorder="true" applyAlignment="true" applyProtection="true">
      <alignment horizontal="center" vertical="top" textRotation="0" wrapText="false" indent="0" shrinkToFit="false"/>
      <protection locked="true" hidden="true"/>
    </xf>
    <xf numFmtId="167" fontId="16" fillId="4" borderId="17" xfId="0" applyFont="true" applyBorder="true" applyAlignment="true" applyProtection="true">
      <alignment horizontal="left" vertical="top" textRotation="0" wrapText="false" indent="0" shrinkToFit="false"/>
      <protection locked="true" hidden="true"/>
    </xf>
    <xf numFmtId="164" fontId="8" fillId="6" borderId="25" xfId="0" applyFont="true" applyBorder="true" applyAlignment="true" applyProtection="true">
      <alignment horizontal="center" vertical="bottom" textRotation="0" wrapText="false" indent="0" shrinkToFit="false"/>
      <protection locked="false" hidden="false"/>
    </xf>
    <xf numFmtId="164" fontId="12" fillId="8" borderId="26" xfId="0" applyFont="true" applyBorder="true" applyAlignment="true" applyProtection="true">
      <alignment horizontal="left" vertical="bottom" textRotation="0" wrapText="false" indent="0" shrinkToFit="false"/>
      <protection locked="true" hidden="true"/>
    </xf>
    <xf numFmtId="164" fontId="8" fillId="8" borderId="27" xfId="0" applyFont="true" applyBorder="true" applyAlignment="true" applyProtection="true">
      <alignment horizontal="center" vertical="bottom" textRotation="0" wrapText="false" indent="0" shrinkToFit="false"/>
      <protection locked="true" hidden="true"/>
    </xf>
    <xf numFmtId="164" fontId="0" fillId="8" borderId="27" xfId="0" applyFont="false" applyBorder="true" applyAlignment="true" applyProtection="true">
      <alignment horizontal="general" vertical="bottom" textRotation="0" wrapText="false" indent="0" shrinkToFit="false"/>
      <protection locked="true" hidden="true"/>
    </xf>
    <xf numFmtId="164" fontId="17" fillId="10" borderId="28" xfId="0" applyFont="true" applyBorder="true" applyAlignment="true" applyProtection="true">
      <alignment horizontal="left" vertical="bottom" textRotation="0" wrapText="false" indent="0" shrinkToFit="false"/>
      <protection locked="true" hidden="true"/>
    </xf>
    <xf numFmtId="164" fontId="8" fillId="10" borderId="29" xfId="0" applyFont="true" applyBorder="true" applyAlignment="true" applyProtection="true">
      <alignment horizontal="right" vertical="top" textRotation="0" wrapText="false" indent="0" shrinkToFit="false"/>
      <protection locked="true" hidden="true"/>
    </xf>
    <xf numFmtId="164" fontId="18" fillId="10" borderId="30" xfId="0" applyFont="true" applyBorder="true" applyAlignment="true" applyProtection="true">
      <alignment horizontal="center" vertical="top" textRotation="0" wrapText="false" indent="0" shrinkToFit="false"/>
      <protection locked="true" hidden="true"/>
    </xf>
    <xf numFmtId="164" fontId="18" fillId="4" borderId="17" xfId="0" applyFont="true" applyBorder="true" applyAlignment="true" applyProtection="true">
      <alignment horizontal="center" vertical="top" textRotation="0" wrapText="false" indent="0" shrinkToFit="false"/>
      <protection locked="true" hidden="true"/>
    </xf>
    <xf numFmtId="164" fontId="19" fillId="9" borderId="18" xfId="0" applyFont="true" applyBorder="true" applyAlignment="true" applyProtection="true">
      <alignment horizontal="general" vertical="bottom" textRotation="0" wrapText="false" indent="0" shrinkToFit="false"/>
      <protection locked="true" hidden="true"/>
    </xf>
    <xf numFmtId="164" fontId="0" fillId="6" borderId="6" xfId="0" applyFont="true" applyBorder="true" applyAlignment="true" applyProtection="true">
      <alignment horizontal="center" vertical="bottom" textRotation="0" wrapText="false" indent="0" shrinkToFit="false"/>
      <protection locked="false" hidden="false"/>
    </xf>
    <xf numFmtId="164" fontId="0" fillId="6"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7" borderId="0" xfId="0" applyFont="true" applyBorder="false" applyAlignment="true" applyProtection="true">
      <alignment horizontal="left" vertical="bottom" textRotation="0" wrapText="false" indent="0" shrinkToFit="false"/>
      <protection locked="true" hidden="true"/>
    </xf>
    <xf numFmtId="164" fontId="8" fillId="7" borderId="0" xfId="0" applyFont="true" applyBorder="true" applyAlignment="true" applyProtection="true">
      <alignment horizontal="left" vertical="bottom" textRotation="0" wrapText="false" indent="0" shrinkToFit="false"/>
      <protection locked="true" hidden="true"/>
    </xf>
    <xf numFmtId="164" fontId="0" fillId="8" borderId="17" xfId="0" applyFont="true" applyBorder="true" applyAlignment="true" applyProtection="true">
      <alignment horizontal="center" vertical="bottom" textRotation="0" wrapText="false" indent="0" shrinkToFit="false"/>
      <protection locked="true" hidden="true"/>
    </xf>
    <xf numFmtId="164" fontId="0" fillId="8" borderId="0" xfId="0" applyFont="true" applyBorder="true" applyAlignment="true" applyProtection="true">
      <alignment horizontal="center" vertical="bottom" textRotation="0" wrapText="false" indent="0" shrinkToFit="false"/>
      <protection locked="true" hidden="true"/>
    </xf>
    <xf numFmtId="164" fontId="20" fillId="8" borderId="0" xfId="0" applyFont="true" applyBorder="true" applyAlignment="true" applyProtection="true">
      <alignment horizontal="center" vertical="bottom" textRotation="90" wrapText="false" indent="0" shrinkToFit="false"/>
      <protection locked="true" hidden="true"/>
    </xf>
    <xf numFmtId="164" fontId="16" fillId="8" borderId="0" xfId="0" applyFont="true" applyBorder="true" applyAlignment="true" applyProtection="true">
      <alignment horizontal="right" vertical="bottom" textRotation="0" wrapText="false" indent="0" shrinkToFit="false"/>
      <protection locked="true" hidden="true"/>
    </xf>
    <xf numFmtId="164" fontId="21" fillId="8" borderId="31" xfId="0" applyFont="true" applyBorder="true" applyAlignment="true" applyProtection="true">
      <alignment horizontal="left" vertical="top" textRotation="0" wrapText="false" indent="0" shrinkToFit="false"/>
      <protection locked="true" hidden="true"/>
    </xf>
    <xf numFmtId="164" fontId="22" fillId="8" borderId="13" xfId="0" applyFont="true" applyBorder="true" applyAlignment="true" applyProtection="true">
      <alignment horizontal="left" vertical="top" textRotation="0" wrapText="false" indent="0" shrinkToFit="false"/>
      <protection locked="true" hidden="true"/>
    </xf>
    <xf numFmtId="164" fontId="22" fillId="8" borderId="32" xfId="0" applyFont="true" applyBorder="true" applyAlignment="true" applyProtection="true">
      <alignment horizontal="left" vertical="top" textRotation="0" wrapText="false" indent="0" shrinkToFit="false"/>
      <protection locked="true" hidden="true"/>
    </xf>
    <xf numFmtId="164" fontId="22" fillId="4" borderId="0" xfId="0" applyFont="true" applyBorder="true" applyAlignment="true" applyProtection="true">
      <alignment horizontal="left" vertical="top" textRotation="0" wrapText="false" indent="0" shrinkToFit="false"/>
      <protection locked="true" hidden="true"/>
    </xf>
    <xf numFmtId="164" fontId="8" fillId="9" borderId="1" xfId="0" applyFont="true" applyBorder="true" applyAlignment="true" applyProtection="true">
      <alignment horizontal="center" vertical="bottom" textRotation="0" wrapText="false" indent="0" shrinkToFit="false"/>
      <protection locked="true" hidden="true"/>
    </xf>
    <xf numFmtId="164" fontId="16" fillId="7" borderId="0" xfId="0" applyFont="true" applyBorder="false" applyAlignment="true" applyProtection="true">
      <alignment horizontal="left" vertical="bottom" textRotation="0" wrapText="false" indent="0" shrinkToFit="false"/>
      <protection locked="true" hidden="true"/>
    </xf>
    <xf numFmtId="164" fontId="16" fillId="7"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3" fillId="8" borderId="33" xfId="0" applyFont="true" applyBorder="true" applyAlignment="true" applyProtection="true">
      <alignment horizontal="right" vertical="top" textRotation="0" wrapText="false" indent="0" shrinkToFit="false"/>
      <protection locked="true" hidden="true"/>
    </xf>
    <xf numFmtId="169" fontId="0" fillId="8" borderId="0" xfId="0" applyFont="true" applyBorder="true" applyAlignment="true" applyProtection="true">
      <alignment horizontal="center" vertical="top" textRotation="0" wrapText="false" indent="0" shrinkToFit="false"/>
      <protection locked="true" hidden="true"/>
    </xf>
    <xf numFmtId="169" fontId="0" fillId="4" borderId="17" xfId="0" applyFont="true" applyBorder="true" applyAlignment="true" applyProtection="true">
      <alignment horizontal="left" vertical="top" textRotation="0" wrapText="false" indent="0" shrinkToFit="false"/>
      <protection locked="true" hidden="true"/>
    </xf>
    <xf numFmtId="167" fontId="8" fillId="6" borderId="6" xfId="0" applyFont="true" applyBorder="true" applyAlignment="true" applyProtection="true">
      <alignment horizontal="center" vertical="bottom" textRotation="0" wrapText="false" indent="0" shrinkToFit="false"/>
      <protection locked="false" hidden="false"/>
    </xf>
    <xf numFmtId="167" fontId="8" fillId="6"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4" fillId="7" borderId="2" xfId="0" applyFont="true" applyBorder="true" applyAlignment="true" applyProtection="true">
      <alignment horizontal="right" vertical="bottom" textRotation="0" wrapText="false" indent="0" shrinkToFit="false"/>
      <protection locked="true" hidden="true"/>
    </xf>
    <xf numFmtId="170" fontId="24" fillId="7"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8" borderId="17"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7" fontId="0" fillId="8" borderId="34" xfId="0" applyFont="true" applyBorder="true" applyAlignment="true" applyProtection="true">
      <alignment horizontal="left" vertical="bottom" textRotation="0" wrapText="false" indent="0" shrinkToFit="false"/>
      <protection locked="true" hidden="true"/>
    </xf>
    <xf numFmtId="164" fontId="0" fillId="5" borderId="35" xfId="0" applyFont="false" applyBorder="true" applyAlignment="true" applyProtection="true">
      <alignment horizontal="general" vertical="bottom" textRotation="0" wrapText="false" indent="0" shrinkToFit="false"/>
      <protection locked="true" hidden="true"/>
    </xf>
    <xf numFmtId="164" fontId="0" fillId="5" borderId="36" xfId="0" applyFont="false" applyBorder="true" applyAlignment="true" applyProtection="true">
      <alignment horizontal="general" vertical="bottom" textRotation="0" wrapText="false" indent="0" shrinkToFit="false"/>
      <protection locked="true" hidden="true"/>
    </xf>
    <xf numFmtId="164" fontId="25" fillId="9" borderId="18" xfId="0" applyFont="true" applyBorder="true" applyAlignment="true" applyProtection="true">
      <alignment horizontal="general" vertical="bottom" textRotation="0" wrapText="false" indent="0" shrinkToFit="false"/>
      <protection locked="true" hidden="true"/>
    </xf>
    <xf numFmtId="164" fontId="0" fillId="11" borderId="6" xfId="0" applyFont="true" applyBorder="true" applyAlignment="true" applyProtection="true">
      <alignment horizontal="center" vertical="bottom" textRotation="0" wrapText="false" indent="0" shrinkToFit="false"/>
      <protection locked="false" hidden="false"/>
    </xf>
    <xf numFmtId="167" fontId="0" fillId="11" borderId="12"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8" borderId="37" xfId="0" applyFont="true" applyBorder="true" applyAlignment="true" applyProtection="true">
      <alignment horizontal="center" vertical="bottom" textRotation="0" wrapText="false" indent="0" shrinkToFit="false"/>
      <protection locked="true" hidden="true"/>
    </xf>
    <xf numFmtId="167" fontId="12" fillId="8" borderId="2" xfId="0" applyFont="true" applyBorder="true" applyAlignment="true" applyProtection="true">
      <alignment horizontal="left" vertical="bottom" textRotation="0" wrapText="false" indent="0" shrinkToFit="false"/>
      <protection locked="true" hidden="true"/>
    </xf>
    <xf numFmtId="167" fontId="0" fillId="8" borderId="6" xfId="0" applyFont="true" applyBorder="true" applyAlignment="true" applyProtection="true">
      <alignment horizontal="center" vertical="bottom" textRotation="0" wrapText="false" indent="0" shrinkToFit="false"/>
      <protection locked="true" hidden="true"/>
    </xf>
    <xf numFmtId="164" fontId="23" fillId="8" borderId="0" xfId="0" applyFont="true" applyBorder="true" applyAlignment="true" applyProtection="true">
      <alignment horizontal="right" vertical="top" textRotation="0" wrapText="false" indent="0" shrinkToFit="false"/>
      <protection locked="true" hidden="true"/>
    </xf>
    <xf numFmtId="171" fontId="0" fillId="8" borderId="0" xfId="0" applyFont="true" applyBorder="true" applyAlignment="true" applyProtection="true">
      <alignment horizontal="left" vertical="top" textRotation="0" wrapText="false" indent="0" shrinkToFit="false"/>
      <protection locked="true" hidden="true"/>
    </xf>
    <xf numFmtId="171" fontId="0" fillId="4" borderId="17" xfId="0" applyFont="true" applyBorder="true" applyAlignment="true" applyProtection="true">
      <alignment horizontal="left" vertical="top" textRotation="0" wrapText="false" indent="0" shrinkToFit="false"/>
      <protection locked="true" hidden="true"/>
    </xf>
    <xf numFmtId="164" fontId="9" fillId="9" borderId="38" xfId="0" applyFont="true" applyBorder="true" applyAlignment="true" applyProtection="true">
      <alignment horizontal="general" vertical="bottom" textRotation="0" wrapText="false" indent="0" shrinkToFit="false"/>
      <protection locked="true" hidden="true"/>
    </xf>
    <xf numFmtId="167" fontId="0" fillId="11" borderId="39" xfId="0" applyFont="true" applyBorder="true" applyAlignment="true" applyProtection="true">
      <alignment horizontal="center" vertical="bottom" textRotation="0" wrapText="false" indent="0" shrinkToFit="false"/>
      <protection locked="false" hidden="false"/>
    </xf>
    <xf numFmtId="167" fontId="0" fillId="11" borderId="40"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13" fillId="7" borderId="0" xfId="0" applyFont="true" applyBorder="false" applyAlignment="true" applyProtection="true">
      <alignment horizontal="general" vertical="bottom" textRotation="0" wrapText="false" indent="0" shrinkToFit="false"/>
      <protection locked="true" hidden="true"/>
    </xf>
    <xf numFmtId="170" fontId="13" fillId="7" borderId="0" xfId="0" applyFont="true" applyBorder="true" applyAlignment="true" applyProtection="true">
      <alignment horizontal="general" vertical="bottom" textRotation="0" wrapText="false" indent="0" shrinkToFit="false"/>
      <protection locked="true" hidden="true"/>
    </xf>
    <xf numFmtId="172" fontId="0" fillId="8" borderId="41" xfId="0" applyFont="true" applyBorder="true" applyAlignment="true" applyProtection="true">
      <alignment horizontal="center" vertical="bottom" textRotation="0" wrapText="false" indent="0" shrinkToFit="false"/>
      <protection locked="true" hidden="true"/>
    </xf>
    <xf numFmtId="171" fontId="0" fillId="8" borderId="0" xfId="0" applyFont="true" applyBorder="true" applyAlignment="true" applyProtection="true">
      <alignment horizontal="center" vertical="bottom" textRotation="0" wrapText="false" indent="0" shrinkToFit="false"/>
      <protection locked="true" hidden="true"/>
    </xf>
    <xf numFmtId="172" fontId="0" fillId="8" borderId="34" xfId="0" applyFont="true" applyBorder="true" applyAlignment="true" applyProtection="true">
      <alignment horizontal="left" vertical="bottom" textRotation="0" wrapText="false" indent="0" shrinkToFit="false"/>
      <protection locked="true" hidden="true"/>
    </xf>
    <xf numFmtId="164" fontId="9" fillId="9" borderId="42" xfId="0" applyFont="true" applyBorder="true" applyAlignment="true" applyProtection="true">
      <alignment horizontal="general" vertical="bottom" textRotation="0" wrapText="false" indent="0" shrinkToFit="false"/>
      <protection locked="true" hidden="true"/>
    </xf>
    <xf numFmtId="167" fontId="0" fillId="11" borderId="43" xfId="0" applyFont="true" applyBorder="true" applyAlignment="true" applyProtection="true">
      <alignment horizontal="center" vertical="bottom" textRotation="0" wrapText="false" indent="0" shrinkToFit="false"/>
      <protection locked="false" hidden="false"/>
    </xf>
    <xf numFmtId="167" fontId="0" fillId="11" borderId="44" xfId="0" applyFont="true" applyBorder="true" applyAlignment="true" applyProtection="true">
      <alignment horizontal="center" vertical="bottom" textRotation="0" wrapText="false" indent="0" shrinkToFit="false"/>
      <protection locked="false" hidden="false"/>
    </xf>
    <xf numFmtId="170" fontId="13" fillId="7" borderId="0" xfId="0" applyFont="true" applyBorder="false" applyAlignment="true" applyProtection="true">
      <alignment horizontal="general" vertical="bottom" textRotation="0" wrapText="false" indent="0" shrinkToFit="false"/>
      <protection locked="true" hidden="true"/>
    </xf>
    <xf numFmtId="172" fontId="0" fillId="8" borderId="17" xfId="0" applyFont="true" applyBorder="true" applyAlignment="true" applyProtection="true">
      <alignment horizontal="center" vertical="bottom" textRotation="0" wrapText="false" indent="0" shrinkToFit="false"/>
      <protection locked="true" hidden="true"/>
    </xf>
    <xf numFmtId="172" fontId="0" fillId="8" borderId="0" xfId="0" applyFont="true" applyBorder="true" applyAlignment="true" applyProtection="true">
      <alignment horizontal="left" vertical="bottom" textRotation="0" wrapText="false" indent="0" shrinkToFit="false"/>
      <protection locked="true" hidden="true"/>
    </xf>
    <xf numFmtId="164" fontId="21" fillId="8" borderId="1" xfId="0" applyFont="true" applyBorder="true" applyAlignment="true" applyProtection="true">
      <alignment horizontal="left" vertical="top" textRotation="0" wrapText="false" indent="0" shrinkToFit="false"/>
      <protection locked="true" hidden="true"/>
    </xf>
    <xf numFmtId="164" fontId="12" fillId="8" borderId="2" xfId="0" applyFont="true" applyBorder="true" applyAlignment="true" applyProtection="true">
      <alignment horizontal="left" vertical="top" textRotation="0" wrapText="false" indent="0" shrinkToFit="false"/>
      <protection locked="true" hidden="true"/>
    </xf>
    <xf numFmtId="164" fontId="22" fillId="8" borderId="2" xfId="0" applyFont="true" applyBorder="true" applyAlignment="true" applyProtection="true">
      <alignment horizontal="left" vertical="top" textRotation="0" wrapText="false" indent="0" shrinkToFit="false"/>
      <protection locked="true" hidden="true"/>
    </xf>
    <xf numFmtId="164" fontId="12" fillId="4" borderId="17" xfId="0" applyFont="true" applyBorder="true" applyAlignment="true" applyProtection="true">
      <alignment horizontal="left" vertical="top" textRotation="0" wrapText="false" indent="0" shrinkToFit="false"/>
      <protection locked="true" hidden="true"/>
    </xf>
    <xf numFmtId="164" fontId="16" fillId="8" borderId="45" xfId="0" applyFont="true" applyBorder="true" applyAlignment="true" applyProtection="true">
      <alignment horizontal="right" vertical="top" textRotation="0" wrapText="false" indent="0" shrinkToFit="false"/>
      <protection locked="true" hidden="true"/>
    </xf>
    <xf numFmtId="171" fontId="0" fillId="8" borderId="9" xfId="0" applyFont="true" applyBorder="true" applyAlignment="true" applyProtection="true">
      <alignment horizontal="right" vertical="top" textRotation="0" wrapText="false" indent="0" shrinkToFit="false"/>
      <protection locked="true" hidden="true"/>
    </xf>
    <xf numFmtId="164" fontId="0" fillId="8" borderId="9" xfId="0" applyFont="true" applyBorder="true" applyAlignment="true" applyProtection="true">
      <alignment horizontal="left" vertical="top" textRotation="0" wrapText="false" indent="0" shrinkToFit="false"/>
      <protection locked="true" hidden="true"/>
    </xf>
    <xf numFmtId="171" fontId="0" fillId="4" borderId="17" xfId="0" applyFont="true" applyBorder="true" applyAlignment="true" applyProtection="true">
      <alignment horizontal="right" vertical="top" textRotation="0" wrapText="false" indent="0" shrinkToFit="false"/>
      <protection locked="true" hidden="true"/>
    </xf>
    <xf numFmtId="164" fontId="16" fillId="8" borderId="46" xfId="0" applyFont="true" applyBorder="true" applyAlignment="true" applyProtection="true">
      <alignment horizontal="right" vertical="top" textRotation="0" wrapText="false" indent="0" shrinkToFit="false"/>
      <protection locked="true" hidden="true"/>
    </xf>
    <xf numFmtId="171" fontId="0" fillId="8" borderId="47" xfId="0" applyFont="true" applyBorder="true" applyAlignment="true" applyProtection="true">
      <alignment horizontal="right" vertical="top" textRotation="0" wrapText="false" indent="0" shrinkToFit="false"/>
      <protection locked="true" hidden="true"/>
    </xf>
    <xf numFmtId="164" fontId="0" fillId="8" borderId="47" xfId="0" applyFont="true" applyBorder="true" applyAlignment="true" applyProtection="true">
      <alignment horizontal="left" vertical="top" textRotation="0" wrapText="false" indent="0" shrinkToFit="false"/>
      <protection locked="true" hidden="true"/>
    </xf>
    <xf numFmtId="164" fontId="9" fillId="9" borderId="48" xfId="0" applyFont="true" applyBorder="true" applyAlignment="true" applyProtection="true">
      <alignment horizontal="general" vertical="bottom" textRotation="0" wrapText="false" indent="0" shrinkToFit="false"/>
      <protection locked="true" hidden="true"/>
    </xf>
    <xf numFmtId="167" fontId="0" fillId="11" borderId="49" xfId="0" applyFont="true" applyBorder="true" applyAlignment="true" applyProtection="true">
      <alignment horizontal="center" vertical="bottom" textRotation="0" wrapText="false" indent="0" shrinkToFit="false"/>
      <protection locked="false" hidden="false"/>
    </xf>
    <xf numFmtId="167" fontId="0" fillId="11" borderId="50" xfId="0" applyFont="true" applyBorder="true" applyAlignment="true" applyProtection="true">
      <alignment horizontal="center" vertical="bottom" textRotation="0" wrapText="false" indent="0" shrinkToFit="false"/>
      <protection locked="false" hidden="false"/>
    </xf>
    <xf numFmtId="164" fontId="16" fillId="8" borderId="33" xfId="0" applyFont="true" applyBorder="true" applyAlignment="true" applyProtection="true">
      <alignment horizontal="right" vertical="top" textRotation="0" wrapText="false" indent="0" shrinkToFit="false"/>
      <protection locked="true" hidden="true"/>
    </xf>
    <xf numFmtId="171" fontId="0" fillId="8" borderId="0" xfId="0" applyFont="true" applyBorder="true" applyAlignment="true" applyProtection="true">
      <alignment horizontal="right" vertical="top" textRotation="0" wrapText="false" indent="0" shrinkToFit="false"/>
      <protection locked="true" hidden="true"/>
    </xf>
    <xf numFmtId="164" fontId="0" fillId="8" borderId="0" xfId="0" applyFont="true" applyBorder="true" applyAlignment="true" applyProtection="true">
      <alignment horizontal="left" vertical="top" textRotation="0" wrapText="false" indent="0" shrinkToFit="false"/>
      <protection locked="true" hidden="true"/>
    </xf>
    <xf numFmtId="170" fontId="0" fillId="3" borderId="9" xfId="0" applyFont="true" applyBorder="true" applyAlignment="true" applyProtection="true">
      <alignment horizontal="center" vertical="bottom" textRotation="0" wrapText="false" indent="0" shrinkToFit="false"/>
      <protection locked="true" hidden="true"/>
    </xf>
    <xf numFmtId="167" fontId="13" fillId="7" borderId="9" xfId="0" applyFont="true" applyBorder="true" applyAlignment="true" applyProtection="true">
      <alignment horizontal="general" vertical="bottom" textRotation="0" wrapText="false" indent="0" shrinkToFit="false"/>
      <protection locked="true" hidden="true"/>
    </xf>
    <xf numFmtId="172" fontId="0" fillId="8"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true" applyProtection="true">
      <alignment horizontal="general" vertical="bottom" textRotation="0" wrapText="false" indent="0" shrinkToFit="false"/>
      <protection locked="true" hidden="true"/>
    </xf>
    <xf numFmtId="164" fontId="9" fillId="9" borderId="51" xfId="0" applyFont="true" applyBorder="true" applyAlignment="true" applyProtection="true">
      <alignment horizontal="general" vertical="bottom" textRotation="0" wrapText="false" indent="0" shrinkToFit="false"/>
      <protection locked="true" hidden="true"/>
    </xf>
    <xf numFmtId="167" fontId="0" fillId="11" borderId="52" xfId="0" applyFont="true" applyBorder="true" applyAlignment="true" applyProtection="true">
      <alignment horizontal="center" vertical="bottom" textRotation="0" wrapText="false" indent="0" shrinkToFit="false"/>
      <protection locked="false" hidden="false"/>
    </xf>
    <xf numFmtId="167" fontId="0" fillId="11" borderId="53"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8" borderId="0" xfId="0" applyFont="false" applyBorder="false" applyAlignment="true" applyProtection="true">
      <alignment horizontal="general" vertical="bottom" textRotation="0" wrapText="false" indent="0" shrinkToFit="false"/>
      <protection locked="true" hidden="true"/>
    </xf>
    <xf numFmtId="164" fontId="0" fillId="4" borderId="17" xfId="0" applyFont="false" applyBorder="true" applyAlignment="true" applyProtection="true">
      <alignment horizontal="general" vertical="bottom" textRotation="0" wrapText="false" indent="0" shrinkToFit="false"/>
      <protection locked="true" hidden="true"/>
    </xf>
    <xf numFmtId="164" fontId="26" fillId="0" borderId="0" xfId="0" applyFont="true" applyBorder="false" applyAlignment="true" applyProtection="true">
      <alignment horizontal="general" vertical="bottom" textRotation="0" wrapText="false" indent="0" shrinkToFit="false"/>
      <protection locked="true" hidden="true"/>
    </xf>
    <xf numFmtId="164" fontId="26" fillId="7" borderId="1" xfId="0" applyFont="true" applyBorder="true" applyAlignment="true" applyProtection="true">
      <alignment horizontal="general" vertical="bottom" textRotation="0" wrapText="false" indent="0" shrinkToFit="false"/>
      <protection locked="true" hidden="true"/>
    </xf>
    <xf numFmtId="164" fontId="26" fillId="7" borderId="2" xfId="0" applyFont="true" applyBorder="true" applyAlignment="true" applyProtection="true">
      <alignment horizontal="center" vertical="bottom" textRotation="0" wrapText="false" indent="0" shrinkToFit="false"/>
      <protection locked="true" hidden="true"/>
    </xf>
    <xf numFmtId="164" fontId="16" fillId="7" borderId="6" xfId="0" applyFont="true" applyBorder="true" applyAlignment="true" applyProtection="true">
      <alignment horizontal="general" vertical="bottom" textRotation="0" wrapText="false" indent="0" shrinkToFit="false"/>
      <protection locked="true" hidden="true"/>
    </xf>
    <xf numFmtId="164" fontId="27" fillId="3" borderId="26" xfId="0" applyFont="true" applyBorder="true" applyAlignment="true" applyProtection="true">
      <alignment horizontal="general" vertical="bottom" textRotation="0" wrapText="false" indent="0" shrinkToFit="false"/>
      <protection locked="true" hidden="true"/>
    </xf>
    <xf numFmtId="164" fontId="28" fillId="3" borderId="26" xfId="0" applyFont="true" applyBorder="true" applyAlignment="true" applyProtection="true">
      <alignment horizontal="general" vertical="bottom" textRotation="0" wrapText="false" indent="0" shrinkToFit="false"/>
      <protection locked="true" hidden="true"/>
    </xf>
    <xf numFmtId="167" fontId="10" fillId="9" borderId="2" xfId="0" applyFont="true" applyBorder="true" applyAlignment="true" applyProtection="true">
      <alignment horizontal="right" vertical="bottom" textRotation="0" wrapText="false" indent="0" shrinkToFit="false"/>
      <protection locked="true" hidden="true"/>
    </xf>
    <xf numFmtId="164" fontId="16" fillId="3" borderId="0" xfId="0" applyFont="true" applyBorder="true" applyAlignment="true" applyProtection="true">
      <alignment horizontal="general" vertical="bottom" textRotation="0" wrapText="false" indent="0" shrinkToFit="false"/>
      <protection locked="true" hidden="true"/>
    </xf>
    <xf numFmtId="164" fontId="0" fillId="8" borderId="26" xfId="0" applyFont="false" applyBorder="true" applyAlignment="true" applyProtection="true">
      <alignment horizontal="general" vertical="bottom" textRotation="0" wrapText="false" indent="0" shrinkToFit="false"/>
      <protection locked="true" hidden="true"/>
    </xf>
    <xf numFmtId="164" fontId="16" fillId="8" borderId="27" xfId="0" applyFont="true" applyBorder="true" applyAlignment="true" applyProtection="true">
      <alignment horizontal="general" vertical="bottom" textRotation="0" wrapText="false" indent="0" shrinkToFit="false"/>
      <protection locked="true" hidden="true"/>
    </xf>
    <xf numFmtId="167" fontId="8" fillId="8" borderId="27" xfId="0" applyFont="true" applyBorder="true" applyAlignment="true" applyProtection="true">
      <alignment horizontal="left" vertical="bottom" textRotation="0" wrapText="false" indent="0" shrinkToFit="false"/>
      <protection locked="true" hidden="true"/>
    </xf>
    <xf numFmtId="167" fontId="8" fillId="8" borderId="54" xfId="0" applyFont="true" applyBorder="true" applyAlignment="true" applyProtection="true">
      <alignment horizontal="left" vertical="bottom" textRotation="0" wrapText="false" indent="0" shrinkToFit="false"/>
      <protection locked="true" hidden="true"/>
    </xf>
    <xf numFmtId="164" fontId="0" fillId="8" borderId="55" xfId="0" applyFont="false" applyBorder="true" applyAlignment="true" applyProtection="true">
      <alignment horizontal="general" vertical="bottom" textRotation="0" wrapText="false" indent="0" shrinkToFit="false"/>
      <protection locked="true" hidden="true"/>
    </xf>
    <xf numFmtId="164" fontId="0" fillId="8" borderId="27" xfId="0" applyFont="true" applyBorder="true" applyAlignment="true" applyProtection="true">
      <alignment horizontal="left" vertical="top" textRotation="0" wrapText="false" indent="0" shrinkToFit="false"/>
      <protection locked="true" hidden="true"/>
    </xf>
    <xf numFmtId="164" fontId="8" fillId="9" borderId="18" xfId="0" applyFont="true" applyBorder="true" applyAlignment="true" applyProtection="true">
      <alignment horizontal="general" vertical="bottom" textRotation="0" wrapText="false" indent="0" shrinkToFit="false"/>
      <protection locked="true" hidden="true"/>
    </xf>
    <xf numFmtId="168" fontId="0" fillId="9" borderId="6" xfId="0" applyFont="true" applyBorder="true" applyAlignment="true" applyProtection="true">
      <alignment horizontal="center" vertical="bottom" textRotation="0" wrapText="false" indent="0" shrinkToFit="false"/>
      <protection locked="true" hidden="true"/>
    </xf>
    <xf numFmtId="167" fontId="0" fillId="9" borderId="12" xfId="0" applyFont="true" applyBorder="true" applyAlignment="true" applyProtection="true">
      <alignment horizontal="center" vertical="bottom" textRotation="0" wrapText="false" indent="0" shrinkToFit="false"/>
      <protection locked="true" hidden="true"/>
    </xf>
    <xf numFmtId="164" fontId="0" fillId="3" borderId="45" xfId="0" applyFont="true" applyBorder="true" applyAlignment="true" applyProtection="true">
      <alignment horizontal="center" vertical="bottom" textRotation="0" wrapText="false" indent="0" shrinkToFit="false"/>
      <protection locked="true" hidden="true"/>
    </xf>
    <xf numFmtId="164" fontId="12" fillId="3" borderId="45" xfId="0" applyFont="true" applyBorder="true" applyAlignment="true" applyProtection="true">
      <alignment horizontal="center" vertical="bottom" textRotation="0" wrapText="false" indent="0" shrinkToFit="false"/>
      <protection locked="true" hidden="true"/>
    </xf>
    <xf numFmtId="167" fontId="13" fillId="9" borderId="0" xfId="0" applyFont="true" applyBorder="false" applyAlignment="true" applyProtection="true">
      <alignment horizontal="general" vertical="bottom" textRotation="0" wrapText="false" indent="0" shrinkToFit="false"/>
      <protection locked="true" hidden="true"/>
    </xf>
    <xf numFmtId="172" fontId="8" fillId="9" borderId="45" xfId="0" applyFont="true" applyBorder="true" applyAlignment="true" applyProtection="true">
      <alignment horizontal="center" vertical="bottom" textRotation="0" wrapText="false" indent="0" shrinkToFit="false"/>
      <protection locked="true" hidden="true"/>
    </xf>
    <xf numFmtId="172" fontId="8" fillId="3" borderId="9" xfId="0" applyFont="true" applyBorder="true" applyAlignment="true" applyProtection="true">
      <alignment horizontal="center" vertical="bottom" textRotation="0" wrapText="false" indent="0" shrinkToFit="false"/>
      <protection locked="true" hidden="true"/>
    </xf>
    <xf numFmtId="172" fontId="8" fillId="9" borderId="0" xfId="0" applyFont="true" applyBorder="true" applyAlignment="true" applyProtection="true">
      <alignment horizontal="center" vertical="bottom" textRotation="0" wrapText="false" indent="0" shrinkToFit="false"/>
      <protection locked="true" hidden="true"/>
    </xf>
    <xf numFmtId="164" fontId="8" fillId="9" borderId="9" xfId="0" applyFont="true" applyBorder="true" applyAlignment="true" applyProtection="true">
      <alignment horizontal="center" vertical="bottom" textRotation="0" wrapText="false" indent="0" shrinkToFit="false"/>
      <protection locked="true" hidden="true"/>
    </xf>
    <xf numFmtId="164" fontId="16" fillId="9" borderId="0" xfId="0" applyFont="true" applyBorder="true" applyAlignment="true" applyProtection="true">
      <alignment horizontal="left" vertical="bottom" textRotation="0" wrapText="false" indent="0" shrinkToFit="false"/>
      <protection locked="true" hidden="true"/>
    </xf>
    <xf numFmtId="164" fontId="16" fillId="9" borderId="16" xfId="0" applyFont="true" applyBorder="true" applyAlignment="true" applyProtection="true">
      <alignment horizontal="left" vertical="bottom" textRotation="0" wrapText="false" indent="0" shrinkToFit="false"/>
      <protection locked="true" hidden="true"/>
    </xf>
    <xf numFmtId="164" fontId="16" fillId="4" borderId="3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6" fillId="9" borderId="18" xfId="0" applyFont="true" applyBorder="true" applyAlignment="true" applyProtection="true">
      <alignment horizontal="right" vertical="bottom" textRotation="0" wrapText="false" indent="0" shrinkToFit="false"/>
      <protection locked="true" hidden="true"/>
    </xf>
    <xf numFmtId="167" fontId="0" fillId="9" borderId="6" xfId="0" applyFont="true" applyBorder="true" applyAlignment="true" applyProtection="true">
      <alignment horizontal="center" vertical="bottom" textRotation="0" wrapText="false" indent="0" shrinkToFit="false"/>
      <protection locked="true" hidden="true"/>
    </xf>
    <xf numFmtId="170" fontId="28" fillId="3" borderId="0" xfId="0" applyFont="true" applyBorder="true" applyAlignment="true" applyProtection="true">
      <alignment horizontal="left" vertical="bottom" textRotation="0" wrapText="false" indent="0" shrinkToFit="false"/>
      <protection locked="true" hidden="true"/>
    </xf>
    <xf numFmtId="167" fontId="8" fillId="9" borderId="25" xfId="0" applyFont="true" applyBorder="true" applyAlignment="true" applyProtection="true">
      <alignment horizontal="center" vertical="bottom" textRotation="0" wrapText="false" indent="0" shrinkToFit="false"/>
      <protection locked="true" hidden="true"/>
    </xf>
    <xf numFmtId="170" fontId="26" fillId="9" borderId="0" xfId="0" applyFont="true" applyBorder="true" applyAlignment="true" applyProtection="true">
      <alignment horizontal="left" vertical="bottom" textRotation="0" wrapText="false" indent="0" shrinkToFit="false"/>
      <protection locked="true" hidden="true"/>
    </xf>
    <xf numFmtId="170" fontId="0" fillId="9" borderId="0" xfId="0" applyFont="true" applyBorder="true" applyAlignment="true" applyProtection="true">
      <alignment horizontal="center" vertical="bottom" textRotation="0" wrapText="false" indent="0" shrinkToFit="false"/>
      <protection locked="true" hidden="true"/>
    </xf>
    <xf numFmtId="170" fontId="8" fillId="9" borderId="0" xfId="0" applyFont="true" applyBorder="true" applyAlignment="true" applyProtection="true">
      <alignment horizontal="center" vertical="bottom" textRotation="0" wrapText="false" indent="0" shrinkToFit="false"/>
      <protection locked="true" hidden="true"/>
    </xf>
    <xf numFmtId="164" fontId="29" fillId="9" borderId="0" xfId="0" applyFont="true" applyBorder="true" applyAlignment="true" applyProtection="true">
      <alignment horizontal="general" vertical="bottom" textRotation="0" wrapText="false" indent="0" shrinkToFit="false"/>
      <protection locked="true" hidden="true"/>
    </xf>
    <xf numFmtId="164" fontId="29" fillId="9" borderId="13" xfId="0" applyFont="true" applyBorder="true" applyAlignment="true" applyProtection="true">
      <alignment horizontal="general" vertical="bottom" textRotation="0" wrapText="false" indent="0" shrinkToFit="false"/>
      <protection locked="true" hidden="true"/>
    </xf>
    <xf numFmtId="164" fontId="29" fillId="4" borderId="31" xfId="0" applyFont="true" applyBorder="true" applyAlignment="true" applyProtection="true">
      <alignment horizontal="general" vertical="bottom" textRotation="0" wrapText="false" indent="0" shrinkToFit="false"/>
      <protection locked="true" hidden="true"/>
    </xf>
    <xf numFmtId="164" fontId="12" fillId="3" borderId="0" xfId="0" applyFont="true" applyBorder="false" applyAlignment="true" applyProtection="true">
      <alignment horizontal="general" vertical="bottom" textRotation="0" wrapText="false" indent="0" shrinkToFit="false"/>
      <protection locked="true" hidden="true"/>
    </xf>
    <xf numFmtId="164" fontId="28" fillId="9" borderId="18" xfId="0" applyFont="true" applyBorder="true" applyAlignment="true" applyProtection="true">
      <alignment horizontal="center" vertical="bottom" textRotation="0" wrapText="false" indent="0" shrinkToFit="false"/>
      <protection locked="true" hidden="true"/>
    </xf>
    <xf numFmtId="170" fontId="28" fillId="9" borderId="56" xfId="0" applyFont="true" applyBorder="true" applyAlignment="true" applyProtection="true">
      <alignment horizontal="center" vertical="bottom" textRotation="0" wrapText="false" indent="0" shrinkToFit="false"/>
      <protection locked="true" hidden="true"/>
    </xf>
    <xf numFmtId="170" fontId="0" fillId="9" borderId="56" xfId="0" applyFont="true" applyBorder="true" applyAlignment="true" applyProtection="true">
      <alignment horizontal="center" vertical="bottom" textRotation="0" wrapText="false" indent="0" shrinkToFit="false"/>
      <protection locked="true" hidden="true"/>
    </xf>
    <xf numFmtId="170" fontId="0" fillId="9" borderId="9" xfId="0" applyFont="true" applyBorder="true" applyAlignment="true" applyProtection="true">
      <alignment horizontal="center" vertical="bottom" textRotation="0" wrapText="false" indent="0" shrinkToFit="false"/>
      <protection locked="true" hidden="true"/>
    </xf>
    <xf numFmtId="170" fontId="0" fillId="9" borderId="45" xfId="0" applyFont="true" applyBorder="true" applyAlignment="true" applyProtection="true">
      <alignment horizontal="center" vertical="bottom" textRotation="0" wrapText="false" indent="0" shrinkToFit="false"/>
      <protection locked="true" hidden="true"/>
    </xf>
    <xf numFmtId="170" fontId="21" fillId="9" borderId="2" xfId="0" applyFont="true" applyBorder="true" applyAlignment="true" applyProtection="true">
      <alignment horizontal="center" vertical="bottom" textRotation="0" wrapText="false" indent="0" shrinkToFit="false"/>
      <protection locked="true" hidden="true"/>
    </xf>
    <xf numFmtId="164" fontId="0" fillId="9" borderId="6" xfId="0" applyFont="true" applyBorder="true" applyAlignment="true" applyProtection="true">
      <alignment horizontal="center" vertical="bottom" textRotation="0" wrapText="false" indent="0" shrinkToFit="false"/>
      <protection locked="true" hidden="true"/>
    </xf>
    <xf numFmtId="164" fontId="0" fillId="9" borderId="25" xfId="0" applyFont="true" applyBorder="true" applyAlignment="true" applyProtection="true">
      <alignment horizontal="center" vertical="bottom" textRotation="0" wrapText="false" indent="0" shrinkToFit="false"/>
      <protection locked="true" hidden="true"/>
    </xf>
    <xf numFmtId="164" fontId="10" fillId="3" borderId="45" xfId="0" applyFont="true" applyBorder="true" applyAlignment="true" applyProtection="true">
      <alignment horizontal="general" vertical="bottom" textRotation="0" wrapText="false" indent="0" shrinkToFit="false"/>
      <protection locked="true" hidden="true"/>
    </xf>
    <xf numFmtId="164" fontId="10" fillId="3" borderId="9" xfId="0" applyFont="true" applyBorder="true" applyAlignment="tru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9" xfId="0" applyFont="true" applyBorder="true" applyAlignment="true" applyProtection="true">
      <alignment horizontal="center" vertical="bottom" textRotation="0" wrapText="false" indent="0" shrinkToFit="false"/>
      <protection locked="true" hidden="true"/>
    </xf>
    <xf numFmtId="164" fontId="10" fillId="3" borderId="57" xfId="0" applyFont="true" applyBorder="true" applyAlignment="true" applyProtection="true">
      <alignment horizontal="center" vertical="bottom" textRotation="0" wrapText="false" indent="0" shrinkToFit="false"/>
      <protection locked="true" hidden="true"/>
    </xf>
    <xf numFmtId="164" fontId="0" fillId="9" borderId="12" xfId="0" applyFont="true" applyBorder="true" applyAlignment="true" applyProtection="true">
      <alignment horizontal="center" vertical="bottom" textRotation="0" wrapText="false" indent="0" shrinkToFit="false"/>
      <protection locked="true" hidden="true"/>
    </xf>
    <xf numFmtId="164" fontId="0" fillId="6" borderId="58" xfId="0" applyFont="true" applyBorder="true" applyAlignment="true" applyProtection="true">
      <alignment horizontal="general" vertical="bottom" textRotation="0" wrapText="false" indent="0" shrinkToFit="false"/>
      <protection locked="false" hidden="false"/>
    </xf>
    <xf numFmtId="167" fontId="0" fillId="6" borderId="56" xfId="0" applyFont="true" applyBorder="true" applyAlignment="true" applyProtection="true">
      <alignment horizontal="general" vertical="bottom" textRotation="0" wrapText="false" indent="0" shrinkToFit="false"/>
      <protection locked="false" hidden="false"/>
    </xf>
    <xf numFmtId="167" fontId="0" fillId="6" borderId="40" xfId="0" applyFont="true" applyBorder="true" applyAlignment="true" applyProtection="true">
      <alignment horizontal="general" vertical="bottom" textRotation="0" wrapText="false" indent="0" shrinkToFit="false"/>
      <protection locked="false" hidden="false"/>
    </xf>
    <xf numFmtId="168" fontId="0" fillId="3" borderId="40" xfId="0" applyFont="true" applyBorder="true" applyAlignment="true" applyProtection="true">
      <alignment horizontal="general" vertical="bottom" textRotation="0" wrapText="false" indent="0" shrinkToFit="false"/>
      <protection locked="true" hidden="true"/>
    </xf>
    <xf numFmtId="168" fontId="0" fillId="9" borderId="59" xfId="0" applyFont="true" applyBorder="true" applyAlignment="true" applyProtection="true">
      <alignment horizontal="general" vertical="bottom" textRotation="0" wrapText="false" indent="0" shrinkToFit="false"/>
      <protection locked="true" hidden="true"/>
    </xf>
    <xf numFmtId="168" fontId="13" fillId="7" borderId="12" xfId="0" applyFont="true" applyBorder="true" applyAlignment="true" applyProtection="true">
      <alignment horizontal="general" vertical="bottom" textRotation="0" wrapText="false" indent="0" shrinkToFit="false"/>
      <protection locked="true" hidden="true"/>
    </xf>
    <xf numFmtId="172" fontId="30" fillId="3" borderId="12" xfId="0" applyFont="true" applyBorder="true" applyAlignment="true" applyProtection="true">
      <alignment horizontal="center" vertical="bottom" textRotation="0" wrapText="false" indent="0" shrinkToFit="false"/>
      <protection locked="true" hidden="true"/>
    </xf>
    <xf numFmtId="172" fontId="10" fillId="9" borderId="12" xfId="0" applyFont="true" applyBorder="true" applyAlignment="true" applyProtection="true">
      <alignment horizontal="center" vertical="bottom" textRotation="0" wrapText="false" indent="0" shrinkToFit="false"/>
      <protection locked="true" hidden="true"/>
    </xf>
    <xf numFmtId="168" fontId="0" fillId="7" borderId="60" xfId="0" applyFont="false" applyBorder="true" applyAlignment="true" applyProtection="true">
      <alignment horizontal="general" vertical="bottom" textRotation="0" wrapText="false" indent="0" shrinkToFit="false"/>
      <protection locked="true" hidden="true"/>
    </xf>
    <xf numFmtId="164" fontId="0" fillId="7" borderId="61" xfId="0" applyFont="true" applyBorder="true" applyAlignment="true" applyProtection="true">
      <alignment horizontal="left" vertical="bottom" textRotation="0" wrapText="false" indent="0" shrinkToFit="false"/>
      <protection locked="true" hidden="true"/>
    </xf>
    <xf numFmtId="164" fontId="28" fillId="7" borderId="62" xfId="0" applyFont="true" applyBorder="true" applyAlignment="true" applyProtection="true">
      <alignment horizontal="right" vertical="bottom" textRotation="0" wrapText="false" indent="0" shrinkToFit="false"/>
      <protection locked="true" hidden="true"/>
    </xf>
    <xf numFmtId="168" fontId="28" fillId="7" borderId="62" xfId="0" applyFont="true" applyBorder="true" applyAlignment="true" applyProtection="true">
      <alignment horizontal="right" vertical="bottom" textRotation="0" wrapText="false" indent="0" shrinkToFit="false"/>
      <protection locked="true" hidden="true"/>
    </xf>
    <xf numFmtId="168" fontId="0" fillId="3" borderId="33" xfId="0" applyFont="false" applyBorder="true" applyAlignment="true" applyProtection="true">
      <alignment horizontal="general" vertical="bottom" textRotation="0" wrapText="false" indent="0" shrinkToFit="false"/>
      <protection locked="true" hidden="true"/>
    </xf>
    <xf numFmtId="168" fontId="0" fillId="3" borderId="0" xfId="0" applyFont="false" applyBorder="true" applyAlignment="true" applyProtection="true">
      <alignment horizontal="general" vertical="bottom" textRotation="0" wrapText="false" indent="0" shrinkToFit="false"/>
      <protection locked="true" hidden="true"/>
    </xf>
    <xf numFmtId="164" fontId="28" fillId="3" borderId="0" xfId="0" applyFont="true" applyBorder="false" applyAlignment="true" applyProtection="true">
      <alignment horizontal="general" vertical="bottom" textRotation="0" wrapText="false" indent="0" shrinkToFit="false"/>
      <protection locked="true" hidden="true"/>
    </xf>
    <xf numFmtId="164" fontId="29" fillId="0" borderId="0" xfId="0" applyFont="true" applyBorder="false" applyAlignment="true" applyProtection="true">
      <alignment horizontal="general" vertical="bottom" textRotation="0" wrapText="false" indent="0" shrinkToFit="false"/>
      <protection locked="true" hidden="true"/>
    </xf>
    <xf numFmtId="164" fontId="0" fillId="6" borderId="12" xfId="0" applyFont="false" applyBorder="true" applyAlignment="true" applyProtection="true">
      <alignment horizontal="center" vertical="bottom" textRotation="0" wrapText="false" indent="0" shrinkToFit="false"/>
      <protection locked="false" hidden="false"/>
    </xf>
    <xf numFmtId="164" fontId="16" fillId="6" borderId="12" xfId="0" applyFont="true" applyBorder="true" applyAlignment="true" applyProtection="true">
      <alignment horizontal="general" vertical="bottom" textRotation="0" wrapText="false" indent="0" shrinkToFit="false"/>
      <protection locked="false" hidden="false"/>
    </xf>
    <xf numFmtId="164" fontId="0" fillId="6" borderId="42" xfId="0" applyFont="true" applyBorder="true" applyAlignment="true" applyProtection="true">
      <alignment horizontal="general" vertical="bottom" textRotation="0" wrapText="false" indent="0" shrinkToFit="false"/>
      <protection locked="false" hidden="false"/>
    </xf>
    <xf numFmtId="167" fontId="0" fillId="6" borderId="62" xfId="0" applyFont="true" applyBorder="true" applyAlignment="true" applyProtection="true">
      <alignment horizontal="general" vertical="bottom" textRotation="0" wrapText="false" indent="0" shrinkToFit="false"/>
      <protection locked="false" hidden="false"/>
    </xf>
    <xf numFmtId="167" fontId="0" fillId="6" borderId="44" xfId="0" applyFont="true" applyBorder="true" applyAlignment="true" applyProtection="true">
      <alignment horizontal="general" vertical="bottom" textRotation="0" wrapText="false" indent="0" shrinkToFit="false"/>
      <protection locked="false" hidden="false"/>
    </xf>
    <xf numFmtId="168" fontId="0" fillId="3" borderId="44" xfId="0" applyFont="true" applyBorder="true" applyAlignment="true" applyProtection="true">
      <alignment horizontal="general" vertical="bottom" textRotation="0" wrapText="false" indent="0" shrinkToFit="false"/>
      <protection locked="true" hidden="true"/>
    </xf>
    <xf numFmtId="168" fontId="0" fillId="9" borderId="46" xfId="0" applyFont="true" applyBorder="true" applyAlignment="true" applyProtection="true">
      <alignment horizontal="general" vertical="bottom" textRotation="0" wrapText="false" indent="0" shrinkToFit="false"/>
      <protection locked="true" hidden="true"/>
    </xf>
    <xf numFmtId="164" fontId="0" fillId="7" borderId="60" xfId="0" applyFont="true" applyBorder="true" applyAlignment="true" applyProtection="true">
      <alignment horizontal="left" vertical="bottom" textRotation="0" wrapText="false" indent="0" shrinkToFit="false"/>
      <protection locked="true" hidden="true"/>
    </xf>
    <xf numFmtId="168" fontId="0" fillId="3" borderId="34" xfId="0" applyFont="false" applyBorder="true" applyAlignment="true" applyProtection="true">
      <alignment horizontal="general" vertical="bottom" textRotation="0" wrapText="false" indent="0" shrinkToFit="false"/>
      <protection locked="true" hidden="true"/>
    </xf>
    <xf numFmtId="172" fontId="29" fillId="0" borderId="0" xfId="0" applyFont="true" applyBorder="false" applyAlignment="true" applyProtection="true">
      <alignment horizontal="general" vertical="bottom" textRotation="0" wrapText="false" indent="0" shrinkToFit="false"/>
      <protection locked="true" hidden="true"/>
    </xf>
    <xf numFmtId="168" fontId="0" fillId="9" borderId="63" xfId="0" applyFont="true" applyBorder="true" applyAlignment="tru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4" fontId="0" fillId="7" borderId="60" xfId="0" applyFont="false" applyBorder="true" applyAlignment="true" applyProtection="true">
      <alignment horizontal="general" vertical="bottom" textRotation="0" wrapText="false" indent="0" shrinkToFit="false"/>
      <protection locked="true" hidden="false"/>
    </xf>
    <xf numFmtId="164" fontId="28" fillId="7" borderId="62" xfId="0" applyFont="true" applyBorder="true" applyAlignment="true" applyProtection="true">
      <alignment horizontal="right" vertical="bottom" textRotation="0" wrapText="false" indent="0" shrinkToFit="false"/>
      <protection locked="true" hidden="false"/>
    </xf>
    <xf numFmtId="164" fontId="13" fillId="7" borderId="46" xfId="0" applyFont="true" applyBorder="true" applyAlignment="true" applyProtection="true">
      <alignment horizontal="general" vertical="bottom" textRotation="0" wrapText="false" indent="0" shrinkToFit="false"/>
      <protection locked="true" hidden="true"/>
    </xf>
    <xf numFmtId="172" fontId="30" fillId="3" borderId="47" xfId="0" applyFont="true" applyBorder="true" applyAlignment="true" applyProtection="true">
      <alignment horizontal="center" vertical="bottom" textRotation="0" wrapText="false" indent="0" shrinkToFit="false"/>
      <protection locked="true" hidden="true"/>
    </xf>
    <xf numFmtId="164" fontId="13" fillId="7" borderId="59" xfId="0" applyFont="true" applyBorder="true" applyAlignment="true" applyProtection="true">
      <alignment horizontal="general" vertical="bottom" textRotation="0" wrapText="false" indent="0" shrinkToFit="false"/>
      <protection locked="true" hidden="true"/>
    </xf>
    <xf numFmtId="172" fontId="30" fillId="3" borderId="61" xfId="0" applyFont="true" applyBorder="true" applyAlignment="true" applyProtection="true">
      <alignment horizontal="center" vertical="bottom" textRotation="0" wrapText="false" indent="0" shrinkToFit="false"/>
      <protection locked="true" hidden="true"/>
    </xf>
    <xf numFmtId="172" fontId="0" fillId="0" borderId="0" xfId="0" applyFont="false" applyBorder="false" applyAlignment="true" applyProtection="true">
      <alignment horizontal="general" vertical="bottom" textRotation="0" wrapText="false" indent="0" shrinkToFit="false"/>
      <protection locked="true" hidden="true"/>
    </xf>
    <xf numFmtId="164" fontId="0" fillId="6" borderId="51" xfId="0" applyFont="true" applyBorder="true" applyAlignment="true" applyProtection="true">
      <alignment horizontal="general" vertical="bottom" textRotation="0" wrapText="false" indent="0" shrinkToFit="false"/>
      <protection locked="false" hidden="false"/>
    </xf>
    <xf numFmtId="167" fontId="0" fillId="6" borderId="64" xfId="0" applyFont="true" applyBorder="true" applyAlignment="true" applyProtection="true">
      <alignment horizontal="general" vertical="bottom" textRotation="0" wrapText="false" indent="0" shrinkToFit="false"/>
      <protection locked="false" hidden="false"/>
    </xf>
    <xf numFmtId="167" fontId="0" fillId="6" borderId="53" xfId="0" applyFont="true" applyBorder="true" applyAlignment="true" applyProtection="true">
      <alignment horizontal="general" vertical="bottom" textRotation="0" wrapText="false" indent="0" shrinkToFit="false"/>
      <protection locked="false" hidden="false"/>
    </xf>
    <xf numFmtId="164" fontId="0" fillId="3" borderId="12" xfId="0" applyFont="true" applyBorder="true" applyAlignment="true" applyProtection="true">
      <alignment horizontal="general" vertical="bottom" textRotation="0" wrapText="false" indent="0" shrinkToFit="false"/>
      <protection locked="true" hidden="true"/>
    </xf>
    <xf numFmtId="168" fontId="0" fillId="3" borderId="53" xfId="0" applyFont="true" applyBorder="true" applyAlignment="true" applyProtection="true">
      <alignment horizontal="general" vertical="bottom" textRotation="0" wrapText="false" indent="0" shrinkToFit="false"/>
      <protection locked="true" hidden="true"/>
    </xf>
    <xf numFmtId="168" fontId="0" fillId="9" borderId="65" xfId="0" applyFont="true" applyBorder="true" applyAlignment="true" applyProtection="true">
      <alignment horizontal="general" vertical="bottom" textRotation="0" wrapText="false" indent="0" shrinkToFit="false"/>
      <protection locked="true" hidden="true"/>
    </xf>
    <xf numFmtId="164" fontId="13" fillId="7" borderId="1" xfId="0" applyFont="true" applyBorder="true" applyAlignment="true" applyProtection="true">
      <alignment horizontal="general" vertical="bottom" textRotation="0" wrapText="false" indent="0" shrinkToFit="false"/>
      <protection locked="true" hidden="true"/>
    </xf>
    <xf numFmtId="172" fontId="30" fillId="3" borderId="2" xfId="0" applyFont="true" applyBorder="true" applyAlignment="true" applyProtection="true">
      <alignment horizontal="center" vertical="bottom" textRotation="0" wrapText="false" indent="0" shrinkToFit="false"/>
      <protection locked="true" hidden="true"/>
    </xf>
    <xf numFmtId="164" fontId="0" fillId="7" borderId="66" xfId="0" applyFont="false" applyBorder="true" applyAlignment="true" applyProtection="true">
      <alignment horizontal="general" vertical="bottom" textRotation="0" wrapText="false" indent="0" shrinkToFit="false"/>
      <protection locked="true" hidden="true"/>
    </xf>
    <xf numFmtId="164" fontId="0" fillId="7" borderId="66" xfId="0" applyFont="false" applyBorder="true" applyAlignment="true" applyProtection="true">
      <alignment horizontal="general" vertical="bottom" textRotation="0" wrapText="false" indent="0" shrinkToFit="false"/>
      <protection locked="true" hidden="false"/>
    </xf>
    <xf numFmtId="164" fontId="28" fillId="7" borderId="64" xfId="0" applyFont="true" applyBorder="true" applyAlignment="true" applyProtection="true">
      <alignment horizontal="right" vertical="bottom" textRotation="0" wrapText="false" indent="0" shrinkToFit="false"/>
      <protection locked="true" hidden="true"/>
    </xf>
    <xf numFmtId="164" fontId="28" fillId="7" borderId="64" xfId="0" applyFont="true" applyBorder="true" applyAlignment="true" applyProtection="true">
      <alignment horizontal="right" vertical="bottom" textRotation="0" wrapText="false" indent="0" shrinkToFit="false"/>
      <protection locked="true" hidden="false"/>
    </xf>
    <xf numFmtId="164" fontId="29"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6" fillId="3" borderId="33" xfId="0" applyFont="true" applyBorder="true" applyAlignment="true" applyProtection="true">
      <alignment horizontal="general" vertical="bottom" textRotation="0" wrapText="false" indent="0" shrinkToFit="false"/>
      <protection locked="true" hidden="true"/>
    </xf>
    <xf numFmtId="164" fontId="0" fillId="3" borderId="9" xfId="0" applyFont="false" applyBorder="true" applyAlignment="true" applyProtection="true">
      <alignment horizontal="general" vertical="bottom" textRotation="0" wrapText="false" indent="0" shrinkToFit="false"/>
      <protection locked="true" hidden="true"/>
    </xf>
    <xf numFmtId="167" fontId="15"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68" fontId="0" fillId="3" borderId="31" xfId="0" applyFont="false" applyBorder="true" applyAlignment="true" applyProtection="true">
      <alignment horizontal="general" vertical="bottom" textRotation="0" wrapText="false" indent="0" shrinkToFit="false"/>
      <protection locked="true" hidden="true"/>
    </xf>
    <xf numFmtId="168" fontId="0" fillId="3" borderId="13" xfId="0" applyFont="false" applyBorder="true" applyAlignment="true" applyProtection="true">
      <alignment horizontal="general" vertical="bottom" textRotation="0" wrapText="false" indent="0" shrinkToFit="false"/>
      <protection locked="true" hidden="true"/>
    </xf>
    <xf numFmtId="166" fontId="0" fillId="3" borderId="13" xfId="0" applyFont="false" applyBorder="true" applyAlignment="true" applyProtection="true">
      <alignment horizontal="general" vertical="bottom" textRotation="0" wrapText="false" indent="0" shrinkToFit="false"/>
      <protection locked="true" hidden="true"/>
    </xf>
    <xf numFmtId="167" fontId="0" fillId="3" borderId="13" xfId="0" applyFont="false" applyBorder="true" applyAlignment="true" applyProtection="true">
      <alignment horizontal="general" vertical="bottom" textRotation="0" wrapText="false" indent="0" shrinkToFit="false"/>
      <protection locked="true" hidden="true"/>
    </xf>
    <xf numFmtId="172" fontId="0" fillId="3" borderId="13" xfId="0" applyFont="false" applyBorder="true" applyAlignment="true" applyProtection="true">
      <alignment horizontal="general" vertical="bottom" textRotation="0" wrapText="false" indent="0" shrinkToFit="false"/>
      <protection locked="true" hidden="true"/>
    </xf>
    <xf numFmtId="167" fontId="0" fillId="3" borderId="0" xfId="0" applyFont="false" applyBorder="false" applyAlignment="true" applyProtection="true">
      <alignment horizontal="general" vertical="bottom" textRotation="0" wrapText="false" indent="0" shrinkToFit="false"/>
      <protection locked="true" hidden="true"/>
    </xf>
    <xf numFmtId="172" fontId="0" fillId="3" borderId="25" xfId="0" applyFont="false" applyBorder="true" applyAlignment="true" applyProtection="true">
      <alignment horizontal="general" vertical="bottom" textRotation="0" wrapText="false" indent="0" shrinkToFit="false"/>
      <protection locked="true" hidden="true"/>
    </xf>
    <xf numFmtId="172" fontId="0" fillId="3" borderId="0" xfId="0" applyFont="false" applyBorder="false" applyAlignment="true" applyProtection="true">
      <alignment horizontal="general" vertical="bottom" textRotation="0" wrapText="false" indent="0" shrinkToFit="false"/>
      <protection locked="true" hidden="true"/>
    </xf>
    <xf numFmtId="164" fontId="8" fillId="3" borderId="0" xfId="0" applyFont="true" applyBorder="false" applyAlignment="true" applyProtection="true">
      <alignment horizontal="general" vertical="bottom" textRotation="0" wrapText="false" indent="0" shrinkToFit="false"/>
      <protection locked="true" hidden="true"/>
    </xf>
    <xf numFmtId="167" fontId="8" fillId="3" borderId="13" xfId="0" applyFont="true" applyBorder="true" applyAlignment="tru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6">
    <dxf>
      <font>
        <color rgb="FFFF0000"/>
      </font>
    </dxf>
    <dxf>
      <font>
        <color rgb="FFC0C0C0"/>
      </font>
    </dxf>
    <dxf>
      <font>
        <color rgb="FFFF0000"/>
      </font>
    </dxf>
    <dxf>
      <font>
        <b val="0"/>
        <i val="0"/>
        <color rgb="FF339966"/>
      </font>
    </dxf>
    <dxf>
      <font>
        <color rgb="FF808080"/>
      </font>
    </dxf>
    <dxf>
      <font>
        <color rgb="FF339966"/>
      </font>
    </dxf>
    <dxf>
      <font>
        <color rgb="FF808080"/>
      </font>
    </dxf>
    <dxf>
      <font>
        <color rgb="FFFF000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0000"/>
      </font>
      <fill>
        <patternFill>
          <bgColor rgb="FF969696"/>
        </patternFill>
      </fill>
    </dxf>
    <dxf>
      <font>
        <color rgb="FF339966"/>
      </font>
    </dxf>
    <dxf>
      <font>
        <color rgb="FF808080"/>
      </font>
    </dxf>
    <dxf>
      <font>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13_Mphyt_IBMR_Dordogne%20AU.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ccueil"/>
      <sheetName val="liste reference"/>
      <sheetName val="Récap."/>
      <sheetName val="Macro1"/>
      <sheetName val="notice"/>
      <sheetName val="072000"/>
      <sheetName val="069400"/>
      <sheetName val="064000"/>
      <sheetName val="063950"/>
      <sheetName val="065000"/>
      <sheetName val="066000"/>
      <sheetName val="071300"/>
      <sheetName val="069250"/>
      <sheetName val="68920"/>
      <sheetName val="068640"/>
      <sheetName val="068645"/>
      <sheetName val="065500"/>
      <sheetName val="modele"/>
      <sheetName val="liste codes réf"/>
    </sheetNames>
    <sheetDataSet>
      <sheetData sheetId="0"/>
      <sheetData sheetId="1">
        <row r="1">
          <cell r="A1" t="str">
            <v>LISTE DES TAXA AQUATIQUES POTENTIELLEMENT RENCONTRES EN FRANCE</v>
          </cell>
        </row>
        <row r="2">
          <cell r="A2" t="str">
            <v>notes spécifiques et coefficients de sténoécie</v>
          </cell>
        </row>
        <row r="5">
          <cell r="A5" t="str">
            <v>CODE</v>
          </cell>
          <cell r="B5" t="str">
            <v>version 3.1.1 - janvier 2013</v>
          </cell>
        </row>
        <row r="6">
          <cell r="B6" t="str">
            <v>Conforme à la norme NF T9-395 (octobre 23)</v>
          </cell>
        </row>
        <row r="7">
          <cell r="A7" t="str">
            <v>LEPSPX</v>
          </cell>
          <cell r="B7" t="str">
            <v>Batrachospermum sp.</v>
          </cell>
          <cell r="C7">
            <v>16</v>
          </cell>
        </row>
        <row r="7">
          <cell r="E7" t="str">
            <v>(L.) Nees</v>
          </cell>
          <cell r="F7" t="str">
            <v>Enteromorpha compressa (L.) Greville</v>
          </cell>
        </row>
        <row r="7">
          <cell r="M7" t="str">
            <v>LI</v>
          </cell>
          <cell r="N7">
            <v>4</v>
          </cell>
        </row>
        <row r="8">
          <cell r="A8" t="str">
            <v>SPTSPX</v>
          </cell>
          <cell r="B8" t="str">
            <v>Binuclearia sp.</v>
          </cell>
          <cell r="C8">
            <v>13</v>
          </cell>
          <cell r="D8">
            <v>1</v>
          </cell>
          <cell r="E8" t="str">
            <v>Gomont</v>
          </cell>
        </row>
        <row r="8">
          <cell r="M8" t="str">
            <v>LIC</v>
          </cell>
          <cell r="N8">
            <v>4</v>
          </cell>
        </row>
        <row r="9">
          <cell r="B9" t="str">
            <v>Chaetophora sp.</v>
          </cell>
          <cell r="C9">
            <v>12</v>
          </cell>
          <cell r="D9">
            <v>1</v>
          </cell>
          <cell r="E9" t="str">
            <v>(Liebm.) J.Agardh</v>
          </cell>
          <cell r="F9" t="str">
            <v>Agmenellum Bréb.</v>
          </cell>
        </row>
        <row r="9">
          <cell r="M9" t="str">
            <v>LIC</v>
          </cell>
          <cell r="N9">
            <v>4</v>
          </cell>
        </row>
        <row r="10">
          <cell r="A10" t="str">
            <v>ANASPX</v>
          </cell>
          <cell r="B10" t="str">
            <v>Chara aculeolata</v>
          </cell>
          <cell r="C10">
            <v>15</v>
          </cell>
          <cell r="D10">
            <v>2</v>
          </cell>
          <cell r="E10" t="str">
            <v>(Thuret) Kirchner (janthina)</v>
          </cell>
        </row>
        <row r="10">
          <cell r="G10" t="str">
            <v>Nitella opaca (Bruzelius) C.Agardh</v>
          </cell>
        </row>
        <row r="10">
          <cell r="M10" t="str">
            <v>LIC</v>
          </cell>
          <cell r="N10">
            <v>4</v>
          </cell>
        </row>
        <row r="10">
          <cell r="P10" t="str">
            <v>IBMR</v>
          </cell>
        </row>
        <row r="11">
          <cell r="A11" t="str">
            <v>APHSPX</v>
          </cell>
          <cell r="B11" t="str">
            <v>Chara aspera</v>
          </cell>
        </row>
        <row r="11">
          <cell r="E11" t="str">
            <v>Roth</v>
          </cell>
          <cell r="F11" t="str">
            <v>Microcystis flos-aquae (Wittr.) Kirchn.</v>
          </cell>
        </row>
        <row r="11">
          <cell r="M11" t="str">
            <v>LIC</v>
          </cell>
          <cell r="N11">
            <v>4</v>
          </cell>
        </row>
        <row r="12">
          <cell r="A12" t="str">
            <v>AUDSPX</v>
          </cell>
          <cell r="B12" t="str">
            <v>Chara braunii</v>
          </cell>
        </row>
        <row r="12">
          <cell r="D12">
            <v>2</v>
          </cell>
          <cell r="E12" t="str">
            <v>C. Agardh</v>
          </cell>
        </row>
        <row r="12">
          <cell r="G12" t="str">
            <v>Nitella furcata subsp mucronata (A.Braun) R.D.Wood</v>
          </cell>
        </row>
        <row r="12">
          <cell r="M12" t="str">
            <v>BR</v>
          </cell>
          <cell r="N12">
            <v>4</v>
          </cell>
        </row>
        <row r="12">
          <cell r="P12" t="str">
            <v>IBMR</v>
          </cell>
        </row>
        <row r="13">
          <cell r="A13" t="str">
            <v>BANSPX</v>
          </cell>
          <cell r="B13" t="str">
            <v>Chara canescens</v>
          </cell>
          <cell r="C13">
            <v>13</v>
          </cell>
          <cell r="D13">
            <v>3</v>
          </cell>
          <cell r="E13" t="str">
            <v>(L.) C.Agardh</v>
          </cell>
          <cell r="F13" t="str">
            <v>Conferva fluviatilis  L.</v>
          </cell>
        </row>
        <row r="13">
          <cell r="M13" t="str">
            <v>BR</v>
          </cell>
          <cell r="N13">
            <v>4</v>
          </cell>
        </row>
        <row r="14">
          <cell r="A14" t="str">
            <v>BATSPX</v>
          </cell>
          <cell r="B14" t="str">
            <v>Chara contraria</v>
          </cell>
        </row>
        <row r="14">
          <cell r="D14">
            <v>2</v>
          </cell>
          <cell r="E14" t="str">
            <v>C. Agardh</v>
          </cell>
        </row>
        <row r="14">
          <cell r="M14" t="str">
            <v>BRh</v>
          </cell>
          <cell r="N14">
            <v>4</v>
          </cell>
        </row>
        <row r="15">
          <cell r="A15" t="str">
            <v>BINSPX</v>
          </cell>
          <cell r="B15" t="str">
            <v>Chara globularis</v>
          </cell>
          <cell r="C15">
            <v>13</v>
          </cell>
        </row>
        <row r="15">
          <cell r="E15" t="str">
            <v>C. Agardh</v>
          </cell>
        </row>
        <row r="15">
          <cell r="M15" t="str">
            <v>BRh</v>
          </cell>
          <cell r="N15">
            <v>4</v>
          </cell>
        </row>
        <row r="15">
          <cell r="P15" t="str">
            <v>IBMR</v>
          </cell>
        </row>
        <row r="16">
          <cell r="A16" t="str">
            <v>CHESPX</v>
          </cell>
          <cell r="B16" t="str">
            <v>Chara gymnophylla</v>
          </cell>
          <cell r="C16">
            <v>6</v>
          </cell>
          <cell r="D16">
            <v>2</v>
          </cell>
          <cell r="E16" t="str">
            <v>Meyen</v>
          </cell>
          <cell r="F16" t="str">
            <v>Agmenellum Bréb.</v>
          </cell>
        </row>
        <row r="16">
          <cell r="M16" t="str">
            <v>BRh</v>
          </cell>
          <cell r="N16">
            <v>4</v>
          </cell>
        </row>
        <row r="16">
          <cell r="P16" t="str">
            <v>IBMR</v>
          </cell>
        </row>
        <row r="17">
          <cell r="A17" t="str">
            <v>CHAACU</v>
          </cell>
          <cell r="B17" t="str">
            <v>Chara hispida</v>
          </cell>
          <cell r="C17">
            <v>15</v>
          </cell>
        </row>
        <row r="17">
          <cell r="E17" t="str">
            <v>Desmazières</v>
          </cell>
          <cell r="F17" t="str">
            <v>Chara flexilis L.</v>
          </cell>
          <cell r="G17" t="str">
            <v>Nitella opaca (Bruzelius) C.Agardh</v>
          </cell>
        </row>
        <row r="17">
          <cell r="M17" t="str">
            <v>BRh</v>
          </cell>
          <cell r="N17">
            <v>4</v>
          </cell>
        </row>
        <row r="18">
          <cell r="A18" t="str">
            <v>CHAASP</v>
          </cell>
          <cell r="B18" t="str">
            <v>Chara intermedia</v>
          </cell>
        </row>
        <row r="18">
          <cell r="D18">
            <v>2</v>
          </cell>
          <cell r="E18" t="str">
            <v>Kütz. em. Elenkin</v>
          </cell>
          <cell r="F18" t="str">
            <v>Chara gracilis Sm.</v>
          </cell>
        </row>
        <row r="18">
          <cell r="M18" t="str">
            <v>BRh</v>
          </cell>
          <cell r="N18">
            <v>4</v>
          </cell>
        </row>
        <row r="19">
          <cell r="A19" t="str">
            <v>CHABRA</v>
          </cell>
          <cell r="B19" t="str">
            <v>Chara sp.</v>
          </cell>
          <cell r="C19">
            <v>12</v>
          </cell>
          <cell r="D19">
            <v>2</v>
          </cell>
          <cell r="E19" t="str">
            <v>Kützing</v>
          </cell>
          <cell r="F19" t="str">
            <v>Chara mucronata A. Braun</v>
          </cell>
          <cell r="G19" t="str">
            <v>Nitella furcata subsp mucronata (A.Braun) R.D.Wood</v>
          </cell>
        </row>
        <row r="19">
          <cell r="M19" t="str">
            <v>BRh</v>
          </cell>
          <cell r="N19">
            <v>4</v>
          </cell>
        </row>
        <row r="19">
          <cell r="P19" t="str">
            <v>IBMR</v>
          </cell>
        </row>
        <row r="20">
          <cell r="A20" t="str">
            <v>CHACAN</v>
          </cell>
          <cell r="B20" t="str">
            <v>Chara vulgaris</v>
          </cell>
          <cell r="C20">
            <v>18</v>
          </cell>
          <cell r="D20">
            <v>2</v>
          </cell>
          <cell r="E20" t="str">
            <v>Thuret</v>
          </cell>
          <cell r="F20" t="str">
            <v>Chara opaca Bruzelius.</v>
          </cell>
        </row>
        <row r="20">
          <cell r="M20" t="str">
            <v>BRh</v>
          </cell>
          <cell r="N20">
            <v>4</v>
          </cell>
        </row>
        <row r="20">
          <cell r="P20" t="str">
            <v>IBMR</v>
          </cell>
        </row>
        <row r="21">
          <cell r="A21" t="str">
            <v>CHACON</v>
          </cell>
          <cell r="B21" t="str">
            <v>Chlorhormidium sp.</v>
          </cell>
          <cell r="C21">
            <v>3</v>
          </cell>
          <cell r="D21">
            <v>2</v>
          </cell>
          <cell r="E21" t="str">
            <v>Thuret</v>
          </cell>
        </row>
        <row r="21">
          <cell r="M21" t="str">
            <v>BRh</v>
          </cell>
          <cell r="N21">
            <v>4</v>
          </cell>
        </row>
        <row r="22">
          <cell r="A22" t="str">
            <v>CHAGLO</v>
          </cell>
          <cell r="B22" t="str">
            <v>Chlorotylium sp.</v>
          </cell>
        </row>
        <row r="22">
          <cell r="D22">
            <v>1</v>
          </cell>
          <cell r="E22" t="str">
            <v>C. Agardh</v>
          </cell>
          <cell r="F22" t="str">
            <v>Chara tenuissima Desv.</v>
          </cell>
        </row>
        <row r="22">
          <cell r="M22" t="str">
            <v>BRh</v>
          </cell>
          <cell r="N22">
            <v>4</v>
          </cell>
        </row>
        <row r="22">
          <cell r="P22" t="str">
            <v>IBMR</v>
          </cell>
        </row>
        <row r="23">
          <cell r="A23" t="str">
            <v>CHAGYM</v>
          </cell>
          <cell r="B23" t="str">
            <v>Cladophora sp.</v>
          </cell>
          <cell r="C23">
            <v>15</v>
          </cell>
          <cell r="D23">
            <v>2</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1" width="14.83"/>
    <col collapsed="false" customWidth="true" hidden="false" outlineLevel="0" max="2" min="2" style="1" width="12.83"/>
    <col collapsed="false" customWidth="true" hidden="false" outlineLevel="0" max="3" min="3" style="1" width="10.98"/>
    <col collapsed="false" customWidth="true" hidden="true" outlineLevel="0" max="4" min="4" style="1" width="9.4"/>
    <col collapsed="false" customWidth="true" hidden="true" outlineLevel="0" max="5" min="5" style="1" width="8.98"/>
    <col collapsed="false" customWidth="true" hidden="false" outlineLevel="0" max="6" min="6" style="1" width="7.12"/>
    <col collapsed="false" customWidth="true" hidden="false" outlineLevel="0" max="7" min="7" style="1" width="5.55"/>
    <col collapsed="false" customWidth="true" hidden="true" outlineLevel="0" max="8" min="8" style="1" width="3.13"/>
    <col collapsed="false" customWidth="true" hidden="false" outlineLevel="0" max="9" min="9" style="1" width="4.28"/>
    <col collapsed="false" customWidth="true" hidden="false" outlineLevel="0" max="10" min="10" style="1" width="3.56"/>
    <col collapsed="false" customWidth="true" hidden="false" outlineLevel="0" max="11" min="11" style="1" width="8.98"/>
    <col collapsed="false" customWidth="true" hidden="false" outlineLevel="0" max="12" min="12" style="1" width="7.98"/>
    <col collapsed="false" customWidth="true" hidden="false" outlineLevel="0" max="13" min="13" style="1" width="8.69"/>
    <col collapsed="false" customWidth="true" hidden="false" outlineLevel="0" max="14" min="14" style="1" width="8.55"/>
    <col collapsed="false" customWidth="true" hidden="false" outlineLevel="0" max="15" min="15" style="1" width="8.84"/>
    <col collapsed="false" customWidth="true" hidden="false" outlineLevel="0" max="16" min="16" style="1" width="10.4"/>
    <col collapsed="false" customWidth="true" hidden="true" outlineLevel="0" max="18" min="17" style="1" width="8.69"/>
    <col collapsed="false" customWidth="true" hidden="true" outlineLevel="0" max="19" min="19" style="1" width="6.98"/>
    <col collapsed="false" customWidth="true" hidden="true" outlineLevel="0" max="20" min="20" style="1" width="4.84"/>
    <col collapsed="false" customWidth="true" hidden="true" outlineLevel="0" max="21" min="21" style="1" width="17.4"/>
    <col collapsed="false" customWidth="true" hidden="true" outlineLevel="0" max="22" min="22" style="1" width="11.27"/>
    <col collapsed="false" customWidth="true" hidden="false" outlineLevel="0" max="23" min="23" style="1" width="23.82"/>
    <col collapsed="false" customWidth="true" hidden="false" outlineLevel="0" max="24" min="24" style="1" width="17.97"/>
    <col collapsed="false" customWidth="false" hidden="true" outlineLevel="0" max="25" min="25" style="1" width="11.39"/>
    <col collapsed="false" customWidth="true" hidden="true" outlineLevel="0" max="26" min="26" style="1" width="8.13"/>
    <col collapsed="false" customWidth="true" hidden="false" outlineLevel="0" max="27" min="27" style="1" width="6.27"/>
    <col collapsed="false" customWidth="true" hidden="false" outlineLevel="0" max="28" min="28" style="1" width="34.1"/>
    <col collapsed="false" customWidth="true" hidden="false" outlineLevel="0" max="29" min="29" style="1" width="25.25"/>
    <col collapsed="false" customWidth="false" hidden="false" outlineLevel="0" max="257" min="30" style="1" width="11.39"/>
  </cols>
  <sheetData>
    <row r="1" customFormat="false" ht="13.8" hidden="false" customHeight="false" outlineLevel="0" collapsed="false">
      <c r="A1" s="2" t="s">
        <v>0</v>
      </c>
      <c r="B1" s="3"/>
      <c r="C1" s="3"/>
      <c r="D1" s="4"/>
      <c r="E1" s="4"/>
      <c r="F1" s="3"/>
      <c r="G1" s="5"/>
      <c r="H1" s="6"/>
      <c r="I1" s="3"/>
      <c r="J1" s="3"/>
      <c r="K1" s="3"/>
      <c r="L1" s="3"/>
      <c r="M1" s="3"/>
      <c r="N1" s="3"/>
      <c r="O1" s="7" t="s">
        <v>1</v>
      </c>
      <c r="P1" s="8"/>
      <c r="Q1" s="9"/>
      <c r="R1" s="9"/>
      <c r="S1" s="9"/>
      <c r="T1" s="9"/>
      <c r="U1" s="9"/>
      <c r="V1" s="9"/>
      <c r="W1" s="10"/>
      <c r="X1" s="11"/>
    </row>
    <row r="2" customFormat="false" ht="12.75" hidden="false" customHeight="false" outlineLevel="0" collapsed="false">
      <c r="A2" s="12" t="s">
        <v>2</v>
      </c>
      <c r="B2" s="13"/>
      <c r="C2" s="14" t="s">
        <v>3</v>
      </c>
      <c r="D2" s="9"/>
      <c r="E2" s="15"/>
      <c r="F2" s="16"/>
      <c r="G2" s="16"/>
      <c r="H2" s="17"/>
      <c r="I2" s="16"/>
      <c r="J2" s="16"/>
      <c r="K2" s="16"/>
      <c r="L2" s="18"/>
      <c r="M2" s="19"/>
      <c r="N2" s="19"/>
      <c r="O2" s="20" t="s">
        <v>4</v>
      </c>
      <c r="P2" s="8"/>
      <c r="Q2" s="9"/>
      <c r="R2" s="9"/>
      <c r="S2" s="9"/>
      <c r="T2" s="9"/>
      <c r="U2" s="9"/>
      <c r="V2" s="9"/>
      <c r="W2" s="21"/>
      <c r="X2" s="22"/>
    </row>
    <row r="3" customFormat="false" ht="12.75" hidden="false" customHeight="false" outlineLevel="0" collapsed="false">
      <c r="A3" s="12" t="s">
        <v>5</v>
      </c>
      <c r="B3" s="13"/>
      <c r="C3" s="12" t="s">
        <v>6</v>
      </c>
      <c r="D3" s="23"/>
      <c r="E3" s="23"/>
      <c r="F3" s="24"/>
      <c r="G3" s="24"/>
      <c r="H3" s="25"/>
      <c r="I3" s="26"/>
      <c r="J3" s="25"/>
      <c r="K3" s="27" t="s">
        <v>7</v>
      </c>
      <c r="L3" s="28"/>
      <c r="M3" s="29" t="s">
        <v>8</v>
      </c>
      <c r="N3" s="30"/>
      <c r="O3" s="30"/>
      <c r="P3" s="31"/>
      <c r="Q3" s="9"/>
      <c r="R3" s="9"/>
      <c r="S3" s="9"/>
      <c r="T3" s="9"/>
      <c r="U3" s="9"/>
      <c r="V3" s="9"/>
      <c r="W3" s="21"/>
      <c r="X3" s="22"/>
    </row>
    <row r="4" customFormat="false" ht="12.75" hidden="false" customHeight="false" outlineLevel="0" collapsed="false">
      <c r="A4" s="32" t="n">
        <v>41507</v>
      </c>
      <c r="B4" s="33"/>
      <c r="C4" s="34"/>
      <c r="D4" s="35"/>
      <c r="E4" s="35"/>
      <c r="F4" s="34"/>
      <c r="G4" s="34"/>
      <c r="H4" s="35"/>
      <c r="I4" s="36" t="s">
        <v>9</v>
      </c>
      <c r="J4" s="37"/>
      <c r="K4" s="37"/>
      <c r="L4" s="38"/>
      <c r="M4" s="38"/>
      <c r="N4" s="39" t="s">
        <v>10</v>
      </c>
      <c r="O4" s="38"/>
      <c r="P4" s="40"/>
      <c r="Q4" s="9"/>
      <c r="R4" s="9"/>
      <c r="S4" s="9"/>
      <c r="T4" s="9"/>
      <c r="U4" s="9"/>
      <c r="V4" s="9"/>
      <c r="W4" s="21"/>
      <c r="X4" s="41"/>
    </row>
    <row r="5" customFormat="false" ht="14.25" hidden="false" customHeight="true" outlineLevel="0" collapsed="false">
      <c r="A5" s="42" t="s">
        <v>11</v>
      </c>
      <c r="B5" s="43" t="s">
        <v>12</v>
      </c>
      <c r="C5" s="44" t="s">
        <v>13</v>
      </c>
      <c r="D5" s="45"/>
      <c r="E5" s="45"/>
      <c r="F5" s="46" t="s">
        <v>14</v>
      </c>
      <c r="G5" s="47"/>
      <c r="H5" s="45"/>
      <c r="I5" s="48"/>
      <c r="J5" s="49"/>
      <c r="K5" s="50" t="s">
        <v>15</v>
      </c>
      <c r="L5" s="51" t="n">
        <v>13.5</v>
      </c>
      <c r="M5" s="52"/>
      <c r="N5" s="53" t="s">
        <v>16</v>
      </c>
      <c r="O5" s="54" t="n">
        <v>13.3333333333333</v>
      </c>
      <c r="P5" s="55"/>
      <c r="Q5" s="9"/>
      <c r="R5" s="9"/>
      <c r="S5" s="9"/>
      <c r="T5" s="9"/>
      <c r="U5" s="9"/>
      <c r="V5" s="9"/>
      <c r="W5" s="21"/>
      <c r="X5" s="41"/>
    </row>
    <row r="6" customFormat="false" ht="12.75" hidden="false" customHeight="false" outlineLevel="0" collapsed="false">
      <c r="A6" s="42" t="s">
        <v>17</v>
      </c>
      <c r="B6" s="56" t="s">
        <v>18</v>
      </c>
      <c r="C6" s="56" t="s">
        <v>19</v>
      </c>
      <c r="D6" s="45"/>
      <c r="E6" s="45"/>
      <c r="F6" s="46"/>
      <c r="G6" s="47"/>
      <c r="H6" s="45"/>
      <c r="I6" s="57" t="s">
        <v>20</v>
      </c>
      <c r="J6" s="58"/>
      <c r="K6" s="59"/>
      <c r="L6" s="60" t="s">
        <v>21</v>
      </c>
      <c r="M6" s="61"/>
      <c r="N6" s="62" t="s">
        <v>22</v>
      </c>
      <c r="O6" s="62"/>
      <c r="P6" s="63"/>
      <c r="Q6" s="9"/>
      <c r="R6" s="9"/>
      <c r="S6" s="9"/>
      <c r="T6" s="9"/>
      <c r="U6" s="9"/>
      <c r="V6" s="9"/>
      <c r="W6" s="21"/>
      <c r="X6" s="22"/>
    </row>
    <row r="7" customFormat="false" ht="12.75" hidden="false" customHeight="false" outlineLevel="0" collapsed="false">
      <c r="A7" s="64" t="s">
        <v>23</v>
      </c>
      <c r="B7" s="65" t="n">
        <v>66</v>
      </c>
      <c r="C7" s="66" t="n">
        <v>34</v>
      </c>
      <c r="D7" s="67"/>
      <c r="E7" s="67"/>
      <c r="F7" s="68" t="n">
        <f aca="false">IF((OR((B7+C7=100),(B7+C7=0))),B7+C7,"ATTENTION")</f>
        <v>100</v>
      </c>
      <c r="G7" s="69"/>
      <c r="H7" s="67"/>
      <c r="I7" s="70"/>
      <c r="J7" s="71"/>
      <c r="K7" s="72"/>
      <c r="L7" s="73"/>
      <c r="M7" s="74"/>
      <c r="N7" s="75" t="s">
        <v>24</v>
      </c>
      <c r="O7" s="76" t="s">
        <v>25</v>
      </c>
      <c r="P7" s="77"/>
      <c r="Q7" s="9"/>
      <c r="R7" s="9"/>
      <c r="S7" s="9"/>
      <c r="T7" s="9"/>
      <c r="U7" s="9"/>
      <c r="V7" s="9"/>
      <c r="W7" s="21"/>
      <c r="X7" s="22"/>
    </row>
    <row r="8" customFormat="false" ht="12.75" hidden="false" customHeight="false" outlineLevel="0" collapsed="false">
      <c r="A8" s="78" t="s">
        <v>26</v>
      </c>
      <c r="B8" s="78"/>
      <c r="C8" s="78"/>
      <c r="D8" s="67"/>
      <c r="E8" s="67"/>
      <c r="F8" s="79" t="s">
        <v>27</v>
      </c>
      <c r="G8" s="80"/>
      <c r="H8" s="81"/>
      <c r="I8" s="70"/>
      <c r="J8" s="71"/>
      <c r="K8" s="72"/>
      <c r="L8" s="73"/>
      <c r="M8" s="82" t="s">
        <v>28</v>
      </c>
      <c r="N8" s="83" t="n">
        <f aca="false">IF(ISERROR(AVERAGE(I23:I82)),"     -",AVERAGE(I23:I82))</f>
        <v>12.875</v>
      </c>
      <c r="O8" s="83" t="n">
        <f aca="false">IF(ISERROR(AVERAGE(J23:J82)),"      -",AVERAGE(J23:J82))</f>
        <v>1.75</v>
      </c>
      <c r="P8" s="84"/>
      <c r="Q8" s="9"/>
      <c r="R8" s="9"/>
      <c r="S8" s="9"/>
      <c r="T8" s="9"/>
      <c r="U8" s="9"/>
      <c r="V8" s="9"/>
      <c r="W8" s="21"/>
      <c r="X8" s="22"/>
    </row>
    <row r="9" customFormat="false" ht="12.75" hidden="false" customHeight="false" outlineLevel="0" collapsed="false">
      <c r="A9" s="42" t="s">
        <v>29</v>
      </c>
      <c r="B9" s="85" t="n">
        <v>0.2</v>
      </c>
      <c r="C9" s="86" t="n">
        <v>0.33</v>
      </c>
      <c r="D9" s="87"/>
      <c r="E9" s="87"/>
      <c r="F9" s="88" t="n">
        <f aca="false">($B9*$B$7+$C9*$C$7)/100</f>
        <v>0.2442</v>
      </c>
      <c r="G9" s="89"/>
      <c r="H9" s="90"/>
      <c r="I9" s="91"/>
      <c r="J9" s="92"/>
      <c r="K9" s="72"/>
      <c r="L9" s="93"/>
      <c r="M9" s="82" t="s">
        <v>30</v>
      </c>
      <c r="N9" s="83" t="n">
        <f aca="false">IF(ISERROR(STDEVP(I23:I82)),"     -",STDEVP(I23:I82))</f>
        <v>1.96452920568771</v>
      </c>
      <c r="O9" s="83" t="n">
        <f aca="false">IF(ISERROR(STDEVP(J23:J82)),"      -",STDEVP(J23:J82))</f>
        <v>0.661437827766148</v>
      </c>
      <c r="P9" s="84"/>
      <c r="Q9" s="9"/>
      <c r="R9" s="9"/>
      <c r="S9" s="9"/>
      <c r="T9" s="9"/>
      <c r="U9" s="9"/>
      <c r="V9" s="9"/>
      <c r="W9" s="94"/>
      <c r="X9" s="95"/>
    </row>
    <row r="10" customFormat="false" ht="12.75" hidden="false" customHeight="false" outlineLevel="0" collapsed="false">
      <c r="A10" s="96" t="s">
        <v>31</v>
      </c>
      <c r="B10" s="97" t="s">
        <v>32</v>
      </c>
      <c r="C10" s="98" t="s">
        <v>32</v>
      </c>
      <c r="D10" s="99"/>
      <c r="E10" s="99"/>
      <c r="F10" s="88"/>
      <c r="G10" s="89"/>
      <c r="H10" s="100"/>
      <c r="I10" s="101"/>
      <c r="J10" s="102" t="s">
        <v>33</v>
      </c>
      <c r="K10" s="102"/>
      <c r="L10" s="103"/>
      <c r="M10" s="104" t="s">
        <v>34</v>
      </c>
      <c r="N10" s="105" t="n">
        <f aca="false">MIN(I23:I82)</f>
        <v>10</v>
      </c>
      <c r="O10" s="105" t="n">
        <f aca="false">MIN(J23:J82)</f>
        <v>1</v>
      </c>
      <c r="P10" s="106"/>
      <c r="Q10" s="9"/>
      <c r="R10" s="9"/>
      <c r="S10" s="9"/>
      <c r="T10" s="9"/>
      <c r="U10" s="9"/>
      <c r="V10" s="9"/>
    </row>
    <row r="11" customFormat="false" ht="12.75" hidden="false" customHeight="false" outlineLevel="0" collapsed="false">
      <c r="A11" s="107" t="s">
        <v>35</v>
      </c>
      <c r="B11" s="108"/>
      <c r="C11" s="109"/>
      <c r="D11" s="110"/>
      <c r="E11" s="110"/>
      <c r="F11" s="111" t="n">
        <f aca="false">($B11*$B$7+$C11*$C$7)/100</f>
        <v>0</v>
      </c>
      <c r="G11" s="112"/>
      <c r="H11" s="67"/>
      <c r="I11" s="113" t="s">
        <v>36</v>
      </c>
      <c r="J11" s="113"/>
      <c r="K11" s="114" t="n">
        <f aca="false">COUNTIF($G$23:$G$82,"=HET")</f>
        <v>0</v>
      </c>
      <c r="L11" s="115"/>
      <c r="M11" s="104" t="s">
        <v>37</v>
      </c>
      <c r="N11" s="105" t="n">
        <f aca="false">MAX(I23:I82)</f>
        <v>15</v>
      </c>
      <c r="O11" s="105" t="n">
        <f aca="false">MAX(J23:J82)</f>
        <v>3</v>
      </c>
      <c r="P11" s="106"/>
      <c r="Q11" s="9"/>
      <c r="R11" s="9"/>
      <c r="S11" s="9"/>
      <c r="T11" s="9"/>
      <c r="U11" s="9"/>
      <c r="V11" s="9"/>
    </row>
    <row r="12" customFormat="false" ht="12.75" hidden="false" customHeight="false" outlineLevel="0" collapsed="false">
      <c r="A12" s="116" t="s">
        <v>38</v>
      </c>
      <c r="B12" s="117" t="n">
        <v>0.04</v>
      </c>
      <c r="C12" s="118"/>
      <c r="D12" s="110"/>
      <c r="E12" s="110"/>
      <c r="F12" s="111" t="n">
        <f aca="false">($B12*$B$7+$C12*$C$7)/100</f>
        <v>0.0264</v>
      </c>
      <c r="G12" s="119"/>
      <c r="H12" s="67"/>
      <c r="I12" s="120" t="s">
        <v>39</v>
      </c>
      <c r="J12" s="120"/>
      <c r="K12" s="114" t="n">
        <f aca="false">COUNTIF($G$23:$G$82,"=ALG")</f>
        <v>2</v>
      </c>
      <c r="L12" s="121"/>
      <c r="M12" s="122"/>
      <c r="N12" s="123" t="s">
        <v>33</v>
      </c>
      <c r="O12" s="124"/>
      <c r="P12" s="125"/>
      <c r="Q12" s="9"/>
      <c r="R12" s="9"/>
      <c r="S12" s="9"/>
      <c r="T12" s="9"/>
      <c r="U12" s="9"/>
      <c r="V12" s="9"/>
    </row>
    <row r="13" customFormat="false" ht="12.75" hidden="false" customHeight="false" outlineLevel="0" collapsed="false">
      <c r="A13" s="116" t="s">
        <v>40</v>
      </c>
      <c r="B13" s="117" t="n">
        <v>0.16</v>
      </c>
      <c r="C13" s="118" t="n">
        <v>0.03</v>
      </c>
      <c r="D13" s="110"/>
      <c r="E13" s="110"/>
      <c r="F13" s="111" t="n">
        <f aca="false">($B13*$B$7+$C13*$C$7)/100</f>
        <v>0.1158</v>
      </c>
      <c r="G13" s="119"/>
      <c r="H13" s="67"/>
      <c r="I13" s="120" t="s">
        <v>41</v>
      </c>
      <c r="J13" s="120"/>
      <c r="K13" s="114" t="n">
        <f aca="false">COUNTIF($G$23:$G$82,"=BRm")+COUNTIF($G$23:$G$82,"=BRh")</f>
        <v>5</v>
      </c>
      <c r="L13" s="115"/>
      <c r="M13" s="126" t="s">
        <v>42</v>
      </c>
      <c r="N13" s="127" t="n">
        <f aca="false">COUNTIF(F23:F82,"&gt;0")</f>
        <v>8</v>
      </c>
      <c r="O13" s="128"/>
      <c r="P13" s="129"/>
      <c r="Q13" s="9"/>
      <c r="R13" s="9"/>
      <c r="S13" s="9"/>
      <c r="T13" s="9"/>
      <c r="U13" s="9"/>
      <c r="V13" s="9"/>
    </row>
    <row r="14" customFormat="false" ht="12.75" hidden="false" customHeight="false" outlineLevel="0" collapsed="false">
      <c r="A14" s="116" t="s">
        <v>43</v>
      </c>
      <c r="B14" s="117"/>
      <c r="C14" s="118"/>
      <c r="D14" s="110"/>
      <c r="E14" s="110"/>
      <c r="F14" s="111" t="n">
        <f aca="false">($B14*$B$7+$C14*$C$7)/100</f>
        <v>0</v>
      </c>
      <c r="G14" s="119"/>
      <c r="H14" s="67"/>
      <c r="I14" s="120" t="s">
        <v>44</v>
      </c>
      <c r="J14" s="120"/>
      <c r="K14" s="114" t="n">
        <f aca="false">COUNTIF($G$23:$G$82,"=PTE")+COUNTIF($G$23:$G$82,"=LIC")</f>
        <v>0</v>
      </c>
      <c r="L14" s="115"/>
      <c r="M14" s="130" t="s">
        <v>45</v>
      </c>
      <c r="N14" s="131" t="n">
        <f aca="false">COUNTIF($I$23:$I$82,"&gt;-1")</f>
        <v>8</v>
      </c>
      <c r="O14" s="132"/>
      <c r="P14" s="129"/>
      <c r="Q14" s="9"/>
      <c r="R14" s="9"/>
      <c r="S14" s="9"/>
      <c r="T14" s="9"/>
      <c r="U14" s="9"/>
      <c r="V14" s="9"/>
    </row>
    <row r="15" customFormat="false" ht="12.75" hidden="false" customHeight="false" outlineLevel="0" collapsed="false">
      <c r="A15" s="133" t="s">
        <v>46</v>
      </c>
      <c r="B15" s="134"/>
      <c r="C15" s="135" t="n">
        <v>0.3</v>
      </c>
      <c r="D15" s="110"/>
      <c r="E15" s="110"/>
      <c r="F15" s="111" t="n">
        <f aca="false">($B15*$B$7+$C15*$C$7)/100</f>
        <v>0.102</v>
      </c>
      <c r="G15" s="119"/>
      <c r="H15" s="67"/>
      <c r="I15" s="120" t="s">
        <v>47</v>
      </c>
      <c r="J15" s="120"/>
      <c r="K15" s="114" t="n">
        <f aca="false">(COUNTIF($G$23:$G$82,"=PHy"))+(COUNTIF($G$23:$G$82,"=PHe"))+(COUNTIF($G$23:$G$82,"=PHg"))+(COUNTIF($G$23:$G$82,"=PHx"))</f>
        <v>1</v>
      </c>
      <c r="L15" s="115"/>
      <c r="M15" s="136" t="s">
        <v>48</v>
      </c>
      <c r="N15" s="137" t="n">
        <f aca="false">COUNTIF(J23:J82,"=1")</f>
        <v>3</v>
      </c>
      <c r="O15" s="138"/>
      <c r="P15" s="129"/>
      <c r="Q15" s="9"/>
      <c r="R15" s="9"/>
      <c r="S15" s="9"/>
      <c r="T15" s="9"/>
      <c r="U15" s="9"/>
      <c r="V15" s="9"/>
    </row>
    <row r="16" customFormat="false" ht="12.75" hidden="false" customHeight="false" outlineLevel="0" collapsed="false">
      <c r="A16" s="107" t="s">
        <v>49</v>
      </c>
      <c r="B16" s="108"/>
      <c r="C16" s="109"/>
      <c r="D16" s="139"/>
      <c r="E16" s="139"/>
      <c r="F16" s="140"/>
      <c r="G16" s="140" t="n">
        <f aca="false">($B16*$B$7+$C16*$C$7)/100</f>
        <v>0</v>
      </c>
      <c r="H16" s="67"/>
      <c r="I16" s="120"/>
      <c r="J16" s="141"/>
      <c r="K16" s="141"/>
      <c r="L16" s="115"/>
      <c r="M16" s="136" t="s">
        <v>50</v>
      </c>
      <c r="N16" s="137" t="n">
        <f aca="false">COUNTIF(J23:J82,"=2")</f>
        <v>4</v>
      </c>
      <c r="O16" s="138"/>
      <c r="P16" s="129"/>
      <c r="Q16" s="9"/>
      <c r="R16" s="9"/>
      <c r="S16" s="9"/>
      <c r="T16" s="9"/>
      <c r="U16" s="9"/>
      <c r="V16" s="9"/>
    </row>
    <row r="17" customFormat="false" ht="12.75" hidden="false" customHeight="false" outlineLevel="0" collapsed="false">
      <c r="A17" s="116" t="s">
        <v>51</v>
      </c>
      <c r="B17" s="117" t="n">
        <v>0.2</v>
      </c>
      <c r="C17" s="118" t="n">
        <v>0.03</v>
      </c>
      <c r="D17" s="110"/>
      <c r="E17" s="110"/>
      <c r="F17" s="142"/>
      <c r="G17" s="111" t="n">
        <f aca="false">($B17*$B$7+$C17*$C$7)/100</f>
        <v>0.1422</v>
      </c>
      <c r="H17" s="67"/>
      <c r="I17" s="120"/>
      <c r="J17" s="120"/>
      <c r="K17" s="141"/>
      <c r="L17" s="115"/>
      <c r="M17" s="136" t="s">
        <v>52</v>
      </c>
      <c r="N17" s="137" t="n">
        <f aca="false">COUNTIF(J23:J82,"=3")</f>
        <v>1</v>
      </c>
      <c r="O17" s="138"/>
      <c r="P17" s="129"/>
      <c r="Q17" s="9"/>
      <c r="R17" s="9"/>
      <c r="S17" s="9"/>
      <c r="T17" s="9"/>
      <c r="U17" s="9"/>
      <c r="V17" s="9"/>
    </row>
    <row r="18" customFormat="false" ht="12.75" hidden="false" customHeight="false" outlineLevel="0" collapsed="false">
      <c r="A18" s="143" t="s">
        <v>53</v>
      </c>
      <c r="B18" s="144"/>
      <c r="C18" s="145" t="n">
        <v>0.3</v>
      </c>
      <c r="D18" s="110"/>
      <c r="E18" s="146" t="s">
        <v>54</v>
      </c>
      <c r="F18" s="142"/>
      <c r="G18" s="111" t="n">
        <f aca="false">($B18*$B$7+$C18*$C$7)/100</f>
        <v>0.102</v>
      </c>
      <c r="H18" s="67"/>
      <c r="I18" s="120"/>
      <c r="J18" s="120"/>
      <c r="K18" s="141"/>
      <c r="L18" s="115"/>
      <c r="M18" s="147"/>
      <c r="N18" s="147"/>
      <c r="O18" s="138"/>
      <c r="P18" s="148"/>
      <c r="Q18" s="9"/>
      <c r="R18" s="9"/>
      <c r="S18" s="9"/>
      <c r="T18" s="9"/>
      <c r="U18" s="9"/>
      <c r="V18" s="9"/>
      <c r="W18" s="149"/>
    </row>
    <row r="19" customFormat="false" ht="12.75" hidden="false" customHeight="false" outlineLevel="0" collapsed="false">
      <c r="A19" s="150" t="str">
        <f aca="false">IF(AND(OR(AND((B9=""),(B7="")),(B9=""),AND(ISNUMBER(B9),ISNUMBER(B7))),OR(AND((C9=""),(C7="")),(C9=""),AND(ISNUMBER(C9),ISNUMBER(C7)))),"","ATTENTION: renseigner % faciès / station")</f>
        <v/>
      </c>
      <c r="B19" s="151"/>
      <c r="C19" s="152"/>
      <c r="D19" s="153" t="str">
        <f aca="false">IF(G19=F19,"","ATTENTION : le total par grp. floristiques doit être égal")</f>
        <v/>
      </c>
      <c r="E19" s="154" t="str">
        <f aca="false">IF(G19=F19,"","au total par grp. Fonctionnels !")</f>
        <v/>
      </c>
      <c r="F19" s="155" t="n">
        <f aca="false">SUM(F11:F15)</f>
        <v>0.2442</v>
      </c>
      <c r="G19" s="155" t="n">
        <f aca="false">SUM(G16:G18)</f>
        <v>0.2442</v>
      </c>
      <c r="H19" s="156"/>
      <c r="I19" s="157"/>
      <c r="J19" s="158"/>
      <c r="K19" s="159"/>
      <c r="L19" s="160"/>
      <c r="M19" s="161"/>
      <c r="N19" s="59"/>
      <c r="O19" s="162"/>
      <c r="P19" s="148"/>
      <c r="Q19" s="9"/>
      <c r="R19" s="9"/>
      <c r="S19" s="9"/>
      <c r="T19" s="9"/>
      <c r="U19" s="9"/>
      <c r="V19" s="9"/>
      <c r="W19" s="149"/>
    </row>
    <row r="20" customFormat="false" ht="12.75" hidden="false" customHeight="false" outlineLevel="0" collapsed="false">
      <c r="A20" s="163" t="s">
        <v>55</v>
      </c>
      <c r="B20" s="164" t="n">
        <f aca="false">SUM(B23:B82)</f>
        <v>0.2</v>
      </c>
      <c r="C20" s="165" t="n">
        <f aca="false">SUM(C23:C82)</f>
        <v>0.33</v>
      </c>
      <c r="D20" s="166"/>
      <c r="E20" s="167" t="s">
        <v>54</v>
      </c>
      <c r="F20" s="168" t="n">
        <f aca="false">($B20*$B$7+$C20*$C$7)/100</f>
        <v>0.2442</v>
      </c>
      <c r="G20" s="169"/>
      <c r="H20" s="170"/>
      <c r="I20" s="171"/>
      <c r="J20" s="171"/>
      <c r="K20" s="172"/>
      <c r="L20" s="46"/>
      <c r="M20" s="173"/>
      <c r="N20" s="173"/>
      <c r="O20" s="174"/>
      <c r="P20" s="175"/>
      <c r="Q20" s="176" t="s">
        <v>56</v>
      </c>
      <c r="R20" s="9"/>
      <c r="S20" s="9"/>
      <c r="T20" s="9"/>
      <c r="U20" s="9"/>
      <c r="V20" s="9"/>
      <c r="W20" s="149"/>
    </row>
    <row r="21" customFormat="false" ht="12.75" hidden="false" customHeight="false" outlineLevel="0" collapsed="false">
      <c r="A21" s="177" t="s">
        <v>57</v>
      </c>
      <c r="B21" s="178" t="n">
        <f aca="false">B20*B7/100</f>
        <v>0.132</v>
      </c>
      <c r="C21" s="178" t="n">
        <f aca="false">C20*C7/100</f>
        <v>0.1122</v>
      </c>
      <c r="D21" s="110" t="str">
        <f aca="false">IF(F21=0,"",IF((ABS(F21-F19))&gt;(0.2*F21),CONCATENATE(" rec. par taxa (",F21," %) supérieur à 20 % !"),""))</f>
        <v/>
      </c>
      <c r="E21" s="179" t="str">
        <f aca="false">IF(F21=0,"",IF((ABS(F21-F19))&gt;(0.2*F21),CONCATENATE("ATTENTION : écart entre rec. par grp (",F19," %) ","et",""),""))</f>
        <v/>
      </c>
      <c r="F21" s="180" t="n">
        <f aca="false">B21+C21</f>
        <v>0.2442</v>
      </c>
      <c r="G21" s="181"/>
      <c r="H21" s="110"/>
      <c r="I21" s="182"/>
      <c r="J21" s="182"/>
      <c r="K21" s="183"/>
      <c r="L21" s="183"/>
      <c r="M21" s="184"/>
      <c r="N21" s="184"/>
      <c r="O21" s="185"/>
      <c r="P21" s="186"/>
      <c r="Q21" s="187" t="s">
        <v>58</v>
      </c>
      <c r="R21" s="9"/>
      <c r="S21" s="9"/>
      <c r="T21" s="9"/>
      <c r="U21" s="9"/>
      <c r="V21" s="9"/>
      <c r="W21" s="149"/>
    </row>
    <row r="22" customFormat="false" ht="12.75" hidden="false" customHeight="false" outlineLevel="0" collapsed="false">
      <c r="A22" s="188" t="s">
        <v>59</v>
      </c>
      <c r="B22" s="189" t="s">
        <v>60</v>
      </c>
      <c r="C22" s="190" t="s">
        <v>60</v>
      </c>
      <c r="D22" s="139"/>
      <c r="E22" s="139"/>
      <c r="F22" s="191" t="s">
        <v>61</v>
      </c>
      <c r="G22" s="192" t="s">
        <v>62</v>
      </c>
      <c r="H22" s="139"/>
      <c r="I22" s="193" t="s">
        <v>63</v>
      </c>
      <c r="J22" s="193" t="s">
        <v>64</v>
      </c>
      <c r="K22" s="194" t="s">
        <v>65</v>
      </c>
      <c r="L22" s="194"/>
      <c r="M22" s="194"/>
      <c r="N22" s="194"/>
      <c r="O22" s="194"/>
      <c r="P22" s="195" t="s">
        <v>66</v>
      </c>
      <c r="Q22" s="196" t="s">
        <v>67</v>
      </c>
      <c r="R22" s="197" t="s">
        <v>68</v>
      </c>
      <c r="S22" s="198" t="s">
        <v>69</v>
      </c>
      <c r="T22" s="199" t="s">
        <v>70</v>
      </c>
      <c r="U22" s="200" t="s">
        <v>71</v>
      </c>
      <c r="V22" s="198" t="s">
        <v>72</v>
      </c>
      <c r="Y22" s="9" t="s">
        <v>73</v>
      </c>
      <c r="Z22" s="9" t="s">
        <v>74</v>
      </c>
      <c r="AA22" s="201" t="s">
        <v>75</v>
      </c>
      <c r="AB22" s="201" t="s">
        <v>76</v>
      </c>
      <c r="AC22" s="201" t="s">
        <v>77</v>
      </c>
    </row>
    <row r="23" customFormat="false" ht="12.75" hidden="false" customHeight="false" outlineLevel="0" collapsed="false">
      <c r="A23" s="202" t="s">
        <v>78</v>
      </c>
      <c r="B23" s="203" t="n">
        <v>0.01</v>
      </c>
      <c r="C23" s="204"/>
      <c r="D23" s="205" t="str">
        <f aca="false">IF(ISERROR(VLOOKUP($A23,'[1]liste reference'!$A$7:$D$904,2,0)),IF(ISERROR(VLOOKUP($A23,'[1]liste reference'!$B$7:$D$904,1,0)),"",VLOOKUP($A23,'[1]liste reference'!$B$7:$D$904,1,0)),VLOOKUP($A23,'[1]liste reference'!$A$7:$D$904,2,0))</f>
        <v>Lemanea sp.</v>
      </c>
      <c r="E23" s="205" t="e">
        <f aca="false">IF(D23="",0,VLOOKUP(D23,D$22:D22,1,0))</f>
        <v>#N/A</v>
      </c>
      <c r="F23" s="206" t="n">
        <f aca="false">($B23*$B$7+$C23*$C$7)/100</f>
        <v>0.0066</v>
      </c>
      <c r="G23" s="207" t="str">
        <f aca="false">IF(A23="","",IF(ISERROR(VLOOKUP($A23,'[1]liste reference'!$A$7:$P$904,13,0)),IF(ISERROR(VLOOKUP($A23,'[1]liste reference'!$B$7:$P$904,12,0)),"    -",VLOOKUP($A23,'[1]liste reference'!$B$7:$P$904,12,0)),VLOOKUP($A23,'[1]liste reference'!$A$7:$P$904,13,0)))</f>
        <v>ALG</v>
      </c>
      <c r="H23" s="208" t="n">
        <f aca="false">IF(A23="","x",IF(ISERROR(VLOOKUP($A23,'[1]liste reference'!$A$8:$P$904,14,0)),IF(ISERROR(VLOOKUP($A23,'[1]liste reference'!$B$8:$P$904,13,0)),"x",VLOOKUP($A23,'[1]liste reference'!$B$8:$P$904,13,0)),VLOOKUP($A23,'[1]liste reference'!$A$8:$P$904,14,0)))</f>
        <v>2</v>
      </c>
      <c r="I23" s="209" t="n">
        <f aca="false">IF(ISNUMBER(H23),IF(ISERROR(VLOOKUP($A23,'[1]liste reference'!$A$7:$P$904,3,0)),IF(ISERROR(VLOOKUP($A23,'[1]liste reference'!$B$7:$P$904,2,0)),"",VLOOKUP($A23,'[1]liste reference'!$B$7:$P$904,2,0)),VLOOKUP($A23,'[1]liste reference'!$A$7:$P$904,3,0)),"")</f>
        <v>15</v>
      </c>
      <c r="J23" s="209" t="n">
        <f aca="false">IF(ISNUMBER(H23),IF(ISERROR(VLOOKUP($A23,'[1]liste reference'!$A$7:$P$904,4,0)),IF(ISERROR(VLOOKUP($A23,'[1]liste reference'!$B$7:$P$904,3,0)),"",VLOOKUP($A23,'[1]liste reference'!$B$7:$P$904,3,0)),VLOOKUP($A23,'[1]liste reference'!$A$7:$P$904,4,0)),"")</f>
        <v>2</v>
      </c>
      <c r="K23" s="210" t="str">
        <f aca="false">IF(A23="NEWCOD",IF(AB23="","Remplir le champs 'Nouveau taxa' svp.",$AB23),IF(ISTEXT($E23),"DEJA SAISI !",IF(A23="","",IF(ISERROR(VLOOKUP($A23,'[1]liste reference'!$A$7:$D$904,2,0)),IF(ISERROR(VLOOKUP($A23,'[1]liste reference'!$B$7:$D$904,1,0)),"code non répertorié ou synonyme",VLOOKUP($A23,'[1]liste reference'!$B$7:$D$904,1,0)),VLOOKUP(A23,'[1]liste reference'!$A$7:$D$904,2,0)))))</f>
        <v>Lemanea sp.</v>
      </c>
      <c r="L23" s="211"/>
      <c r="M23" s="211"/>
      <c r="N23" s="211"/>
      <c r="O23" s="212"/>
      <c r="P23" s="213" t="n">
        <f aca="false">IF($A23="NEWCOD",IF($AC23="","No",$AC23),IF(ISTEXT($E23),"DEJA SAISI !",IF($A23="","",IF(ISERROR(VLOOKUP($A23,'[1]liste reference'!A$1:S$1048576,19,FALSE())),IF(ISERROR(VLOOKUP($A23,'[1]liste reference'!B$1:S$1048576,19,FALSE())),"",VLOOKUP($A23,'[1]liste reference'!B$1:S$1048576,19,FALSE())),VLOOKUP($A23,'[1]liste reference'!A$1:S$1048576,19,FALSE())))))</f>
        <v>1159</v>
      </c>
      <c r="Q23" s="214" t="n">
        <f aca="false">IF(ISTEXT(H23),"",(B23*$B$7/100)+(C23*$C$7/100))</f>
        <v>0.0066</v>
      </c>
      <c r="R23" s="215" t="n">
        <f aca="false">IF(OR(ISTEXT(H23),Q23=0),"",IF(Q23&lt;0.1,1,IF(Q23&lt;1,2,IF(Q23&lt;10,3,IF(Q23&lt;50,4,IF(Q23&gt;=50,5,""))))))</f>
        <v>1</v>
      </c>
      <c r="S23" s="215" t="n">
        <f aca="false">IF(ISERROR(R23*I23),0,R23*I23)</f>
        <v>15</v>
      </c>
      <c r="T23" s="215" t="n">
        <f aca="false">IF(ISERROR(R23*I23*J23),0,R23*I23*J23)</f>
        <v>30</v>
      </c>
      <c r="U23" s="215" t="n">
        <f aca="false">IF(ISERROR(R23*J23),0,R23*J23)</f>
        <v>2</v>
      </c>
      <c r="V23" s="216" t="str">
        <f aca="false">IF(AND(A23="",F23=0),"",IF(F23=0,"Il manque le(s) % de rec. !",""))</f>
        <v/>
      </c>
      <c r="W23" s="217"/>
      <c r="Y23" s="215" t="str">
        <f aca="false">IF(A23="new.cod","NEWCOD",IF(AND((Z23=""),ISTEXT(A23)),A23,IF(Z23="","",INDEX('[1]liste reference'!$A$8:$A$904,Z23))))</f>
        <v>LEASPX</v>
      </c>
      <c r="Z23" s="9" t="n">
        <f aca="false">IF(ISERROR(MATCH(A23,'[1]liste reference'!$A$8:$A$904,0)),IF(ISERROR(MATCH(A23,'[1]liste reference'!$B$8:$B$904,0)),"",(MATCH(A23,'[1]liste reference'!$B$8:$B$904,0))),(MATCH(A23,'[1]liste reference'!$A$8:$A$904,0)))</f>
        <v>34</v>
      </c>
      <c r="AA23" s="218"/>
      <c r="AB23" s="219"/>
      <c r="AC23" s="219"/>
      <c r="BB23" s="9" t="n">
        <f aca="false">IF(A23="","",1)</f>
        <v>1</v>
      </c>
    </row>
    <row r="24" customFormat="false" ht="12.75" hidden="false" customHeight="false" outlineLevel="0" collapsed="false">
      <c r="A24" s="220" t="s">
        <v>79</v>
      </c>
      <c r="B24" s="221" t="n">
        <v>0.03</v>
      </c>
      <c r="C24" s="222"/>
      <c r="D24" s="205" t="str">
        <f aca="false">IF(ISERROR(VLOOKUP($A24,'[1]liste reference'!$A$7:$D$904,2,0)),IF(ISERROR(VLOOKUP($A24,'[1]liste reference'!$B$7:$D$904,1,0)),"",VLOOKUP($A24,'[1]liste reference'!$B$7:$D$904,1,0)),VLOOKUP($A24,'[1]liste reference'!$A$7:$D$904,2,0))</f>
        <v>Oscillatoria sp.</v>
      </c>
      <c r="E24" s="223" t="e">
        <f aca="false">IF(D24="",0,VLOOKUP(D24,D$22:D23,1,0))</f>
        <v>#N/A</v>
      </c>
      <c r="F24" s="224" t="n">
        <f aca="false">($B24*$B$7+$C24*$C$7)/100</f>
        <v>0.0198</v>
      </c>
      <c r="G24" s="207" t="str">
        <f aca="false">IF(A24="","",IF(ISERROR(VLOOKUP($A24,'[1]liste reference'!$A$7:$P$904,13,0)),IF(ISERROR(VLOOKUP($A24,'[1]liste reference'!$B$7:$P$904,12,0)),"    -",VLOOKUP($A24,'[1]liste reference'!$B$7:$P$904,12,0)),VLOOKUP($A24,'[1]liste reference'!$A$7:$P$904,13,0)))</f>
        <v>ALG</v>
      </c>
      <c r="H24" s="208" t="n">
        <f aca="false">IF(A24="","x",IF(ISERROR(VLOOKUP($A24,'[1]liste reference'!$A$8:$P$904,14,0)),IF(ISERROR(VLOOKUP($A24,'[1]liste reference'!$B$8:$P$904,13,0)),"x",VLOOKUP($A24,'[1]liste reference'!$B$8:$P$904,13,0)),VLOOKUP($A24,'[1]liste reference'!$A$8:$P$904,14,0)))</f>
        <v>2</v>
      </c>
      <c r="I24" s="209" t="n">
        <f aca="false">IF(ISNUMBER(H24),IF(ISERROR(VLOOKUP($A24,'[1]liste reference'!$A$7:$P$904,3,0)),IF(ISERROR(VLOOKUP($A24,'[1]liste reference'!$B$7:$P$904,2,0)),"",VLOOKUP($A24,'[1]liste reference'!$B$7:$P$904,2,0)),VLOOKUP($A24,'[1]liste reference'!$A$7:$P$904,3,0)),"")</f>
        <v>11</v>
      </c>
      <c r="J24" s="209" t="n">
        <f aca="false">IF(ISNUMBER(H24),IF(ISERROR(VLOOKUP($A24,'[1]liste reference'!$A$7:$P$904,4,0)),IF(ISERROR(VLOOKUP($A24,'[1]liste reference'!$B$7:$P$904,3,0)),"",VLOOKUP($A24,'[1]liste reference'!$B$7:$P$904,3,0)),VLOOKUP($A24,'[1]liste reference'!$A$7:$P$904,4,0)),"")</f>
        <v>1</v>
      </c>
      <c r="K24" s="210" t="str">
        <f aca="false">IF(A24="NEWCOD",IF(AB24="","Remplir le champs 'Nouveau taxa' svp.",$AB24),IF(ISTEXT($E24),"DEJA SAISI !",IF(A24="","",IF(ISERROR(VLOOKUP($A24,'[1]liste reference'!$A$7:$D$904,2,0)),IF(ISERROR(VLOOKUP($A24,'[1]liste reference'!$B$7:$D$904,1,0)),"code non répertorié ou synonyme",VLOOKUP($A24,'[1]liste reference'!$B$7:$D$904,1,0)),VLOOKUP(A24,'[1]liste reference'!$A$7:$D$904,2,0)))))</f>
        <v>Oscillatoria sp.</v>
      </c>
      <c r="L24" s="225"/>
      <c r="M24" s="225"/>
      <c r="N24" s="225"/>
      <c r="O24" s="212"/>
      <c r="P24" s="213" t="n">
        <f aca="false">IF($A24="NEWCOD",IF($AC24="","No",$AC24),IF(ISTEXT($E24),"DEJA SAISI !",IF($A24="","",IF(ISERROR(VLOOKUP($A24,'[1]liste reference'!A$1:S$1048576,19,FALSE())),IF(ISERROR(VLOOKUP($A24,'[1]liste reference'!B$1:S$1048576,19,FALSE())),"",VLOOKUP($A24,'[1]liste reference'!B$1:S$1048576,19,FALSE())),VLOOKUP($A24,'[1]liste reference'!A$1:S$1048576,19,FALSE())))))</f>
        <v>1108</v>
      </c>
      <c r="Q24" s="214" t="n">
        <f aca="false">IF(ISTEXT(H24),"",(B24*$B$7/100)+(C24*$C$7/100))</f>
        <v>0.0198</v>
      </c>
      <c r="R24" s="215" t="n">
        <f aca="false">IF(OR(ISTEXT(H24),Q24=0),"",IF(Q24&lt;0.1,1,IF(Q24&lt;1,2,IF(Q24&lt;10,3,IF(Q24&lt;50,4,IF(Q24&gt;=50,5,""))))))</f>
        <v>1</v>
      </c>
      <c r="S24" s="215" t="n">
        <f aca="false">IF(ISERROR(R24*I24),0,R24*I24)</f>
        <v>11</v>
      </c>
      <c r="T24" s="215" t="n">
        <f aca="false">IF(ISERROR(R24*I24*J24),0,R24*I24*J24)</f>
        <v>11</v>
      </c>
      <c r="U24" s="226" t="n">
        <f aca="false">IF(ISERROR(R24*J24),0,R24*J24)</f>
        <v>1</v>
      </c>
      <c r="V24" s="216" t="str">
        <f aca="false">IF(AND(A24="",F24=0),"",IF(F24=0,"Il manque le(s) % de rec. !",""))</f>
        <v/>
      </c>
      <c r="W24" s="217"/>
      <c r="Y24" s="215" t="str">
        <f aca="false">IF(A24="new.cod","NEWCOD",IF(AND((Z24=""),ISTEXT(A24)),A24,IF(Z24="","",INDEX('[1]liste reference'!$A$8:$A$904,Z24))))</f>
        <v>OSCSPX</v>
      </c>
      <c r="Z24" s="9" t="n">
        <f aca="false">IF(ISERROR(MATCH(A24,'[1]liste reference'!$A$8:$A$904,0)),IF(ISERROR(MATCH(A24,'[1]liste reference'!$B$8:$B$904,0)),"",(MATCH(A24,'[1]liste reference'!$B$8:$B$904,0))),(MATCH(A24,'[1]liste reference'!$A$8:$A$904,0)))</f>
        <v>56</v>
      </c>
      <c r="AA24" s="218"/>
      <c r="AB24" s="219"/>
      <c r="AC24" s="219"/>
      <c r="BB24" s="9" t="n">
        <f aca="false">IF(A24="","",1)</f>
        <v>1</v>
      </c>
    </row>
    <row r="25" customFormat="false" ht="12.75" hidden="false" customHeight="false" outlineLevel="0" collapsed="false">
      <c r="A25" s="220" t="s">
        <v>80</v>
      </c>
      <c r="B25" s="221"/>
      <c r="C25" s="222" t="n">
        <v>0.01</v>
      </c>
      <c r="D25" s="205" t="str">
        <f aca="false">IF(ISERROR(VLOOKUP($A25,'[1]liste reference'!$A$7:$D$904,2,0)),IF(ISERROR(VLOOKUP($A25,'[1]liste reference'!$B$7:$D$904,1,0)),"",VLOOKUP($A25,'[1]liste reference'!$B$7:$D$904,1,0)),VLOOKUP($A25,'[1]liste reference'!$A$7:$D$904,2,0))</f>
        <v>Chiloscyphus polyanthos</v>
      </c>
      <c r="E25" s="223" t="e">
        <f aca="false">IF(D25="",0,VLOOKUP(D25,D$22:D24,1,0))</f>
        <v>#N/A</v>
      </c>
      <c r="F25" s="224" t="n">
        <f aca="false">($B25*$B$7+$C25*$C$7)/100</f>
        <v>0.0034</v>
      </c>
      <c r="G25" s="207" t="str">
        <f aca="false">IF(A25="","",IF(ISERROR(VLOOKUP($A25,'[1]liste reference'!$A$7:$P$904,13,0)),IF(ISERROR(VLOOKUP($A25,'[1]liste reference'!$B$7:$P$904,12,0)),"    -",VLOOKUP($A25,'[1]liste reference'!$B$7:$P$904,12,0)),VLOOKUP($A25,'[1]liste reference'!$A$7:$P$904,13,0)))</f>
        <v>BRh</v>
      </c>
      <c r="H25" s="208" t="n">
        <f aca="false">IF(A25="","x",IF(ISERROR(VLOOKUP($A25,'[1]liste reference'!$A$8:$P$904,14,0)),IF(ISERROR(VLOOKUP($A25,'[1]liste reference'!$B$8:$P$904,13,0)),"x",VLOOKUP($A25,'[1]liste reference'!$B$8:$P$904,13,0)),VLOOKUP($A25,'[1]liste reference'!$A$8:$P$904,14,0)))</f>
        <v>4</v>
      </c>
      <c r="I25" s="209" t="n">
        <f aca="false">IF(ISNUMBER(H25),IF(ISERROR(VLOOKUP($A25,'[1]liste reference'!$A$7:$P$904,3,0)),IF(ISERROR(VLOOKUP($A25,'[1]liste reference'!$B$7:$P$904,2,0)),"",VLOOKUP($A25,'[1]liste reference'!$B$7:$P$904,2,0)),VLOOKUP($A25,'[1]liste reference'!$A$7:$P$904,3,0)),"")</f>
        <v>15</v>
      </c>
      <c r="J25" s="209" t="n">
        <f aca="false">IF(ISNUMBER(H25),IF(ISERROR(VLOOKUP($A25,'[1]liste reference'!$A$7:$P$904,4,0)),IF(ISERROR(VLOOKUP($A25,'[1]liste reference'!$B$7:$P$904,3,0)),"",VLOOKUP($A25,'[1]liste reference'!$B$7:$P$904,3,0)),VLOOKUP($A25,'[1]liste reference'!$A$7:$P$904,4,0)),"")</f>
        <v>2</v>
      </c>
      <c r="K25" s="210" t="str">
        <f aca="false">IF(A25="NEWCOD",IF(AB25="","Remplir le champs 'Nouveau taxa' svp.",$AB25),IF(ISTEXT($E25),"DEJA SAISI !",IF(A25="","",IF(ISERROR(VLOOKUP($A25,'[1]liste reference'!$A$7:$D$904,2,0)),IF(ISERROR(VLOOKUP($A25,'[1]liste reference'!$B$7:$D$904,1,0)),"code non répertorié ou synonyme",VLOOKUP($A25,'[1]liste reference'!$B$7:$D$904,1,0)),VLOOKUP(A25,'[1]liste reference'!$A$7:$D$904,2,0)))))</f>
        <v>Chiloscyphus polyanthos</v>
      </c>
      <c r="L25" s="225"/>
      <c r="M25" s="225"/>
      <c r="N25" s="225"/>
      <c r="O25" s="212"/>
      <c r="P25" s="213" t="n">
        <f aca="false">IF($A25="NEWCOD",IF($AC25="","No",$AC25),IF(ISTEXT($E25),"DEJA SAISI !",IF($A25="","",IF(ISERROR(VLOOKUP($A25,'[1]liste reference'!A$1:S$1048576,19,FALSE())),IF(ISERROR(VLOOKUP($A25,'[1]liste reference'!B$1:S$1048576,19,FALSE())),"",VLOOKUP($A25,'[1]liste reference'!B$1:S$1048576,19,FALSE())),VLOOKUP($A25,'[1]liste reference'!A$1:S$1048576,19,FALSE())))))</f>
        <v>1186</v>
      </c>
      <c r="Q25" s="214" t="n">
        <f aca="false">IF(ISTEXT(H25),"",(B25*$B$7/100)+(C25*$C$7/100))</f>
        <v>0.0034</v>
      </c>
      <c r="R25" s="215" t="n">
        <f aca="false">IF(OR(ISTEXT(H25),Q25=0),"",IF(Q25&lt;0.1,1,IF(Q25&lt;1,2,IF(Q25&lt;10,3,IF(Q25&lt;50,4,IF(Q25&gt;=50,5,""))))))</f>
        <v>1</v>
      </c>
      <c r="S25" s="215" t="n">
        <f aca="false">IF(ISERROR(R25*I25),0,R25*I25)</f>
        <v>15</v>
      </c>
      <c r="T25" s="215" t="n">
        <f aca="false">IF(ISERROR(R25*I25*J25),0,R25*I25*J25)</f>
        <v>30</v>
      </c>
      <c r="U25" s="226" t="n">
        <f aca="false">IF(ISERROR(R25*J25),0,R25*J25)</f>
        <v>2</v>
      </c>
      <c r="V25" s="216" t="str">
        <f aca="false">IF(AND(A25="",F25=0),"",IF(F25=0,"Il manque le(s) % de rec. !",""))</f>
        <v/>
      </c>
      <c r="W25" s="227"/>
      <c r="Y25" s="215" t="str">
        <f aca="false">IF(A25="new.cod","NEWCOD",IF(AND((Z25=""),ISTEXT(A25)),A25,IF(Z25="","",INDEX('[1]liste reference'!$A$8:$A$904,Z25))))</f>
        <v>CHIPOL</v>
      </c>
      <c r="Z25" s="9" t="n">
        <f aca="false">IF(ISERROR(MATCH(A25,'[1]liste reference'!$A$8:$A$904,0)),IF(ISERROR(MATCH(A25,'[1]liste reference'!$B$8:$B$904,0)),"",(MATCH(A25,'[1]liste reference'!$B$8:$B$904,0))),(MATCH(A25,'[1]liste reference'!$A$8:$A$904,0)))</f>
        <v>97</v>
      </c>
      <c r="AA25" s="218"/>
      <c r="AB25" s="219"/>
      <c r="AC25" s="219"/>
      <c r="BB25" s="9" t="n">
        <f aca="false">IF(A25="","",1)</f>
        <v>1</v>
      </c>
    </row>
    <row r="26" customFormat="false" ht="12.75" hidden="false" customHeight="false" outlineLevel="0" collapsed="false">
      <c r="A26" s="220" t="s">
        <v>81</v>
      </c>
      <c r="B26" s="221" t="n">
        <v>0.01</v>
      </c>
      <c r="C26" s="222"/>
      <c r="D26" s="205" t="str">
        <f aca="false">IF(ISERROR(VLOOKUP($A26,'[1]liste reference'!$A$7:$D$904,2,0)),IF(ISERROR(VLOOKUP($A26,'[1]liste reference'!$B$7:$D$904,1,0)),"",VLOOKUP($A26,'[1]liste reference'!$B$7:$D$904,1,0)),VLOOKUP($A26,'[1]liste reference'!$A$7:$D$904,2,0))</f>
        <v>Amblystegium fluviatile</v>
      </c>
      <c r="E26" s="223" t="e">
        <f aca="false">IF(D26="",0,VLOOKUP(D26,D$22:D25,1,0))</f>
        <v>#N/A</v>
      </c>
      <c r="F26" s="224" t="n">
        <f aca="false">($B26*$B$7+$C26*$C$7)/100</f>
        <v>0.0066</v>
      </c>
      <c r="G26" s="207" t="str">
        <f aca="false">IF(A26="","",IF(ISERROR(VLOOKUP($A26,'[1]liste reference'!$A$7:$P$904,13,0)),IF(ISERROR(VLOOKUP($A26,'[1]liste reference'!$B$7:$P$904,12,0)),"    -",VLOOKUP($A26,'[1]liste reference'!$B$7:$P$904,12,0)),VLOOKUP($A26,'[1]liste reference'!$A$7:$P$904,13,0)))</f>
        <v>BRm</v>
      </c>
      <c r="H26" s="208" t="n">
        <f aca="false">IF(A26="","x",IF(ISERROR(VLOOKUP($A26,'[1]liste reference'!$A$8:$P$904,14,0)),IF(ISERROR(VLOOKUP($A26,'[1]liste reference'!$B$8:$P$904,13,0)),"x",VLOOKUP($A26,'[1]liste reference'!$B$8:$P$904,13,0)),VLOOKUP($A26,'[1]liste reference'!$A$8:$P$904,14,0)))</f>
        <v>5</v>
      </c>
      <c r="I26" s="209" t="n">
        <f aca="false">IF(ISNUMBER(H26),IF(ISERROR(VLOOKUP($A26,'[1]liste reference'!$A$7:$P$904,3,0)),IF(ISERROR(VLOOKUP($A26,'[1]liste reference'!$B$7:$P$904,2,0)),"",VLOOKUP($A26,'[1]liste reference'!$B$7:$P$904,2,0)),VLOOKUP($A26,'[1]liste reference'!$A$7:$P$904,3,0)),"")</f>
        <v>11</v>
      </c>
      <c r="J26" s="209" t="n">
        <f aca="false">IF(ISNUMBER(H26),IF(ISERROR(VLOOKUP($A26,'[1]liste reference'!$A$7:$P$904,4,0)),IF(ISERROR(VLOOKUP($A26,'[1]liste reference'!$B$7:$P$904,3,0)),"",VLOOKUP($A26,'[1]liste reference'!$B$7:$P$904,3,0)),VLOOKUP($A26,'[1]liste reference'!$A$7:$P$904,4,0)),"")</f>
        <v>2</v>
      </c>
      <c r="K26" s="210" t="str">
        <f aca="false">IF(A26="NEWCOD",IF(AB26="","Remplir le champs 'Nouveau taxa' svp.",$AB26),IF(ISTEXT($E26),"DEJA SAISI !",IF(A26="","",IF(ISERROR(VLOOKUP($A26,'[1]liste reference'!$A$7:$D$904,2,0)),IF(ISERROR(VLOOKUP($A26,'[1]liste reference'!$B$7:$D$904,1,0)),"code non répertorié ou synonyme",VLOOKUP($A26,'[1]liste reference'!$B$7:$D$904,1,0)),VLOOKUP(A26,'[1]liste reference'!$A$7:$D$904,2,0)))))</f>
        <v>Amblystegium fluviatile</v>
      </c>
      <c r="L26" s="225"/>
      <c r="M26" s="225"/>
      <c r="N26" s="225"/>
      <c r="O26" s="212"/>
      <c r="P26" s="213" t="n">
        <f aca="false">IF($A26="NEWCOD",IF($AC26="","No",$AC26),IF(ISTEXT($E26),"DEJA SAISI !",IF($A26="","",IF(ISERROR(VLOOKUP($A26,'[1]liste reference'!A$1:S$1048576,19,FALSE())),IF(ISERROR(VLOOKUP($A26,'[1]liste reference'!B$1:S$1048576,19,FALSE())),"",VLOOKUP($A26,'[1]liste reference'!B$1:S$1048576,19,FALSE())),VLOOKUP($A26,'[1]liste reference'!A$1:S$1048576,19,FALSE())))))</f>
        <v>1223</v>
      </c>
      <c r="Q26" s="214" t="n">
        <f aca="false">IF(ISTEXT(H26),"",(B26*$B$7/100)+(C26*$C$7/100))</f>
        <v>0.0066</v>
      </c>
      <c r="R26" s="215" t="n">
        <f aca="false">IF(OR(ISTEXT(H26),Q26=0),"",IF(Q26&lt;0.1,1,IF(Q26&lt;1,2,IF(Q26&lt;10,3,IF(Q26&lt;50,4,IF(Q26&gt;=50,5,""))))))</f>
        <v>1</v>
      </c>
      <c r="S26" s="215" t="n">
        <f aca="false">IF(ISERROR(R26*I26),0,R26*I26)</f>
        <v>11</v>
      </c>
      <c r="T26" s="215" t="n">
        <f aca="false">IF(ISERROR(R26*I26*J26),0,R26*I26*J26)</f>
        <v>22</v>
      </c>
      <c r="U26" s="226" t="n">
        <f aca="false">IF(ISERROR(R26*J26),0,R26*J26)</f>
        <v>2</v>
      </c>
      <c r="V26" s="216" t="str">
        <f aca="false">IF(AND(A26="",F26=0),"",IF(F26=0,"Il manque le(s) % de rec. !",""))</f>
        <v/>
      </c>
      <c r="W26" s="217"/>
      <c r="X26" s="217"/>
      <c r="Y26" s="215" t="str">
        <f aca="false">IF(A26="new.cod","NEWCOD",IF(AND((Z26=""),ISTEXT(A26)),A26,IF(Z26="","",INDEX('[1]liste reference'!$A$8:$A$904,Z26))))</f>
        <v>AMBFLU</v>
      </c>
      <c r="Z26" s="9" t="n">
        <f aca="false">IF(ISERROR(MATCH(A26,'[1]liste reference'!$A$8:$A$904,0)),IF(ISERROR(MATCH(A26,'[1]liste reference'!$B$8:$B$904,0)),"",(MATCH(A26,'[1]liste reference'!$B$8:$B$904,0))),(MATCH(A26,'[1]liste reference'!$A$8:$A$904,0)))</f>
        <v>147</v>
      </c>
      <c r="AA26" s="218"/>
      <c r="AB26" s="219"/>
      <c r="AC26" s="219"/>
      <c r="BB26" s="9" t="n">
        <f aca="false">IF(A26="","",1)</f>
        <v>1</v>
      </c>
    </row>
    <row r="27" customFormat="false" ht="12.75" hidden="false" customHeight="false" outlineLevel="0" collapsed="false">
      <c r="A27" s="220" t="s">
        <v>82</v>
      </c>
      <c r="B27" s="221" t="n">
        <v>0.01</v>
      </c>
      <c r="C27" s="222"/>
      <c r="D27" s="205" t="str">
        <f aca="false">IF(ISERROR(VLOOKUP($A27,'[1]liste reference'!$A$7:$D$904,2,0)),IF(ISERROR(VLOOKUP($A27,'[1]liste reference'!$B$7:$D$904,1,0)),"",VLOOKUP($A27,'[1]liste reference'!$B$7:$D$904,1,0)),VLOOKUP($A27,'[1]liste reference'!$A$7:$D$904,2,0))</f>
        <v>Fontinalis antipyretica</v>
      </c>
      <c r="E27" s="223" t="e">
        <f aca="false">IF(D27="",0,VLOOKUP(D27,D$22:D26,1,0))</f>
        <v>#N/A</v>
      </c>
      <c r="F27" s="224" t="n">
        <f aca="false">($B27*$B$7+$C27*$C$7)/100</f>
        <v>0.0066</v>
      </c>
      <c r="G27" s="207" t="str">
        <f aca="false">IF(A27="","",IF(ISERROR(VLOOKUP($A27,'[1]liste reference'!$A$7:$P$904,13,0)),IF(ISERROR(VLOOKUP($A27,'[1]liste reference'!$B$7:$P$904,12,0)),"    -",VLOOKUP($A27,'[1]liste reference'!$B$7:$P$904,12,0)),VLOOKUP($A27,'[1]liste reference'!$A$7:$P$904,13,0)))</f>
        <v>BRm</v>
      </c>
      <c r="H27" s="208" t="n">
        <f aca="false">IF(A27="","x",IF(ISERROR(VLOOKUP($A27,'[1]liste reference'!$A$8:$P$904,14,0)),IF(ISERROR(VLOOKUP($A27,'[1]liste reference'!$B$8:$P$904,13,0)),"x",VLOOKUP($A27,'[1]liste reference'!$B$8:$P$904,13,0)),VLOOKUP($A27,'[1]liste reference'!$A$8:$P$904,14,0)))</f>
        <v>5</v>
      </c>
      <c r="I27" s="209" t="n">
        <f aca="false">IF(ISNUMBER(H27),IF(ISERROR(VLOOKUP($A27,'[1]liste reference'!$A$7:$P$904,3,0)),IF(ISERROR(VLOOKUP($A27,'[1]liste reference'!$B$7:$P$904,2,0)),"",VLOOKUP($A27,'[1]liste reference'!$B$7:$P$904,2,0)),VLOOKUP($A27,'[1]liste reference'!$A$7:$P$904,3,0)),"")</f>
        <v>10</v>
      </c>
      <c r="J27" s="209" t="n">
        <f aca="false">IF(ISNUMBER(H27),IF(ISERROR(VLOOKUP($A27,'[1]liste reference'!$A$7:$P$904,4,0)),IF(ISERROR(VLOOKUP($A27,'[1]liste reference'!$B$7:$P$904,3,0)),"",VLOOKUP($A27,'[1]liste reference'!$B$7:$P$904,3,0)),VLOOKUP($A27,'[1]liste reference'!$A$7:$P$904,4,0)),"")</f>
        <v>1</v>
      </c>
      <c r="K27" s="210" t="str">
        <f aca="false">IF(A27="NEWCOD",IF(AB27="","Remplir le champs 'Nouveau taxa' svp.",$AB27),IF(ISTEXT($E27),"DEJA SAISI !",IF(A27="","",IF(ISERROR(VLOOKUP($A27,'[1]liste reference'!$A$7:$D$904,2,0)),IF(ISERROR(VLOOKUP($A27,'[1]liste reference'!$B$7:$D$904,1,0)),"code non répertorié ou synonyme",VLOOKUP($A27,'[1]liste reference'!$B$7:$D$904,1,0)),VLOOKUP(A27,'[1]liste reference'!$A$7:$D$904,2,0)))))</f>
        <v>Fontinalis antipyretica</v>
      </c>
      <c r="L27" s="225"/>
      <c r="M27" s="225"/>
      <c r="N27" s="225"/>
      <c r="O27" s="212"/>
      <c r="P27" s="213" t="n">
        <f aca="false">IF($A27="NEWCOD",IF($AC27="","No",$AC27),IF(ISTEXT($E27),"DEJA SAISI !",IF($A27="","",IF(ISERROR(VLOOKUP($A27,'[1]liste reference'!A$1:S$1048576,19,FALSE())),IF(ISERROR(VLOOKUP($A27,'[1]liste reference'!B$1:S$1048576,19,FALSE())),"",VLOOKUP($A27,'[1]liste reference'!B$1:S$1048576,19,FALSE())),VLOOKUP($A27,'[1]liste reference'!A$1:S$1048576,19,FALSE())))))</f>
        <v>1310</v>
      </c>
      <c r="Q27" s="214" t="n">
        <f aca="false">IF(ISTEXT(H27),"",(B27*$B$7/100)+(C27*$C$7/100))</f>
        <v>0.0066</v>
      </c>
      <c r="R27" s="215" t="n">
        <f aca="false">IF(OR(ISTEXT(H27),Q27=0),"",IF(Q27&lt;0.1,1,IF(Q27&lt;1,2,IF(Q27&lt;10,3,IF(Q27&lt;50,4,IF(Q27&gt;=50,5,""))))))</f>
        <v>1</v>
      </c>
      <c r="S27" s="215" t="n">
        <f aca="false">IF(ISERROR(R27*I27),0,R27*I27)</f>
        <v>10</v>
      </c>
      <c r="T27" s="215" t="n">
        <f aca="false">IF(ISERROR(R27*I27*J27),0,R27*I27*J27)</f>
        <v>10</v>
      </c>
      <c r="U27" s="226" t="n">
        <f aca="false">IF(ISERROR(R27*J27),0,R27*J27)</f>
        <v>1</v>
      </c>
      <c r="V27" s="216" t="str">
        <f aca="false">IF(AND(A27="",F27=0),"",IF(F27=0,"Il manque le(s) % de rec. !",""))</f>
        <v/>
      </c>
      <c r="W27" s="217"/>
      <c r="Y27" s="215" t="str">
        <f aca="false">IF(A27="new.cod","NEWCOD",IF(AND((Z27=""),ISTEXT(A27)),A27,IF(Z27="","",INDEX('[1]liste reference'!$A$8:$A$904,Z27))))</f>
        <v>FONANT</v>
      </c>
      <c r="Z27" s="9" t="n">
        <f aca="false">IF(ISERROR(MATCH(A27,'[1]liste reference'!$A$8:$A$904,0)),IF(ISERROR(MATCH(A27,'[1]liste reference'!$B$8:$B$904,0)),"",(MATCH(A27,'[1]liste reference'!$B$8:$B$904,0))),(MATCH(A27,'[1]liste reference'!$A$8:$A$904,0)))</f>
        <v>210</v>
      </c>
      <c r="AA27" s="218"/>
      <c r="AB27" s="219"/>
      <c r="AC27" s="219"/>
      <c r="BB27" s="9" t="n">
        <f aca="false">IF(A27="","",1)</f>
        <v>1</v>
      </c>
    </row>
    <row r="28" customFormat="false" ht="12.75" hidden="false" customHeight="false" outlineLevel="0" collapsed="false">
      <c r="A28" s="220" t="s">
        <v>83</v>
      </c>
      <c r="B28" s="221" t="n">
        <v>0.13</v>
      </c>
      <c r="C28" s="222" t="n">
        <v>0.02</v>
      </c>
      <c r="D28" s="205" t="str">
        <f aca="false">IF(ISERROR(VLOOKUP($A28,'[1]liste reference'!$A$7:$D$904,2,0)),IF(ISERROR(VLOOKUP($A28,'[1]liste reference'!$B$7:$D$904,1,0)),"",VLOOKUP($A28,'[1]liste reference'!$B$7:$D$904,1,0)),VLOOKUP($A28,'[1]liste reference'!$A$7:$D$904,2,0))</f>
        <v>Rhynchostegium riparioides</v>
      </c>
      <c r="E28" s="223" t="e">
        <f aca="false">IF(D28="",0,VLOOKUP(D28,D$22:D27,1,0))</f>
        <v>#N/A</v>
      </c>
      <c r="F28" s="224" t="n">
        <f aca="false">($B28*$B$7+$C28*$C$7)/100</f>
        <v>0.0926</v>
      </c>
      <c r="G28" s="207" t="str">
        <f aca="false">IF(A28="","",IF(ISERROR(VLOOKUP($A28,'[1]liste reference'!$A$7:$P$904,13,0)),IF(ISERROR(VLOOKUP($A28,'[1]liste reference'!$B$7:$P$904,12,0)),"    -",VLOOKUP($A28,'[1]liste reference'!$B$7:$P$904,12,0)),VLOOKUP($A28,'[1]liste reference'!$A$7:$P$904,13,0)))</f>
        <v>BRm</v>
      </c>
      <c r="H28" s="208" t="n">
        <f aca="false">IF(A28="","x",IF(ISERROR(VLOOKUP($A28,'[1]liste reference'!$A$8:$P$904,14,0)),IF(ISERROR(VLOOKUP($A28,'[1]liste reference'!$B$8:$P$904,13,0)),"x",VLOOKUP($A28,'[1]liste reference'!$B$8:$P$904,13,0)),VLOOKUP($A28,'[1]liste reference'!$A$8:$P$904,14,0)))</f>
        <v>5</v>
      </c>
      <c r="I28" s="209" t="n">
        <f aca="false">IF(ISNUMBER(H28),IF(ISERROR(VLOOKUP($A28,'[1]liste reference'!$A$7:$P$904,3,0)),IF(ISERROR(VLOOKUP($A28,'[1]liste reference'!$B$7:$P$904,2,0)),"",VLOOKUP($A28,'[1]liste reference'!$B$7:$P$904,2,0)),VLOOKUP($A28,'[1]liste reference'!$A$7:$P$904,3,0)),"")</f>
        <v>12</v>
      </c>
      <c r="J28" s="209" t="n">
        <f aca="false">IF(ISNUMBER(H28),IF(ISERROR(VLOOKUP($A28,'[1]liste reference'!$A$7:$P$904,4,0)),IF(ISERROR(VLOOKUP($A28,'[1]liste reference'!$B$7:$P$904,3,0)),"",VLOOKUP($A28,'[1]liste reference'!$B$7:$P$904,3,0)),VLOOKUP($A28,'[1]liste reference'!$A$7:$P$904,4,0)),"")</f>
        <v>1</v>
      </c>
      <c r="K28" s="210" t="str">
        <f aca="false">IF(A28="NEWCOD",IF(AB28="","Remplir le champs 'Nouveau taxa' svp.",$AB28),IF(ISTEXT($E28),"DEJA SAISI !",IF(A28="","",IF(ISERROR(VLOOKUP($A28,'[1]liste reference'!$A$7:$D$904,2,0)),IF(ISERROR(VLOOKUP($A28,'[1]liste reference'!$B$7:$D$904,1,0)),"code non répertorié ou synonyme",VLOOKUP($A28,'[1]liste reference'!$B$7:$D$904,1,0)),VLOOKUP(A28,'[1]liste reference'!$A$7:$D$904,2,0)))))</f>
        <v>Rhynchostegium riparioides</v>
      </c>
      <c r="L28" s="225"/>
      <c r="M28" s="225"/>
      <c r="N28" s="225"/>
      <c r="O28" s="212"/>
      <c r="P28" s="213" t="n">
        <f aca="false">IF($A28="NEWCOD",IF($AC28="","No",$AC28),IF(ISTEXT($E28),"DEJA SAISI !",IF($A28="","",IF(ISERROR(VLOOKUP($A28,'[1]liste reference'!A$1:S$1048576,19,FALSE())),IF(ISERROR(VLOOKUP($A28,'[1]liste reference'!B$1:S$1048576,19,FALSE())),"",VLOOKUP($A28,'[1]liste reference'!B$1:S$1048576,19,FALSE())),VLOOKUP($A28,'[1]liste reference'!A$1:S$1048576,19,FALSE())))))</f>
        <v>1268</v>
      </c>
      <c r="Q28" s="214" t="n">
        <f aca="false">IF(ISTEXT(H28),"",(B28*$B$7/100)+(C28*$C$7/100))</f>
        <v>0.0926</v>
      </c>
      <c r="R28" s="215" t="n">
        <f aca="false">IF(OR(ISTEXT(H28),Q28=0),"",IF(Q28&lt;0.1,1,IF(Q28&lt;1,2,IF(Q28&lt;10,3,IF(Q28&lt;50,4,IF(Q28&gt;=50,5,""))))))</f>
        <v>1</v>
      </c>
      <c r="S28" s="215" t="n">
        <f aca="false">IF(ISERROR(R28*I28),0,R28*I28)</f>
        <v>12</v>
      </c>
      <c r="T28" s="215" t="n">
        <f aca="false">IF(ISERROR(R28*I28*J28),0,R28*I28*J28)</f>
        <v>12</v>
      </c>
      <c r="U28" s="226" t="n">
        <f aca="false">IF(ISERROR(R28*J28),0,R28*J28)</f>
        <v>1</v>
      </c>
      <c r="V28" s="216" t="str">
        <f aca="false">IF(AND(A28="",F28=0),"",IF(F28=0,"Il manque le(s) % de rec. !",""))</f>
        <v/>
      </c>
      <c r="W28" s="217"/>
      <c r="Y28" s="215" t="str">
        <f aca="false">IF(A28="new.cod","NEWCOD",IF(AND((Z28=""),ISTEXT(A28)),A28,IF(Z28="","",INDEX('[1]liste reference'!$A$8:$A$904,Z28))))</f>
        <v>RHYRIP</v>
      </c>
      <c r="Z28" s="9" t="n">
        <f aca="false">IF(ISERROR(MATCH(A28,'[1]liste reference'!$A$8:$A$904,0)),IF(ISERROR(MATCH(A28,'[1]liste reference'!$B$8:$B$904,0)),"",(MATCH(A28,'[1]liste reference'!$B$8:$B$904,0))),(MATCH(A28,'[1]liste reference'!$A$8:$A$904,0)))</f>
        <v>252</v>
      </c>
      <c r="AA28" s="218"/>
      <c r="AB28" s="219"/>
      <c r="AC28" s="219"/>
      <c r="BB28" s="9" t="n">
        <f aca="false">IF(A28="","",1)</f>
        <v>1</v>
      </c>
    </row>
    <row r="29" customFormat="false" ht="12.75" hidden="false" customHeight="false" outlineLevel="0" collapsed="false">
      <c r="A29" s="220" t="s">
        <v>84</v>
      </c>
      <c r="B29" s="221" t="n">
        <v>0.01</v>
      </c>
      <c r="C29" s="222"/>
      <c r="D29" s="205" t="str">
        <f aca="false">IF(ISERROR(VLOOKUP($A29,'[1]liste reference'!$A$7:$D$904,2,0)),IF(ISERROR(VLOOKUP($A29,'[1]liste reference'!$B$7:$D$904,1,0)),"",VLOOKUP($A29,'[1]liste reference'!$B$7:$D$904,1,0)),VLOOKUP($A29,'[1]liste reference'!$A$7:$D$904,2,0))</f>
        <v>Schistidium rivulare</v>
      </c>
      <c r="E29" s="223" t="e">
        <f aca="false">IF(D29="",0,VLOOKUP(D29,D$22:D28,1,0))</f>
        <v>#N/A</v>
      </c>
      <c r="F29" s="224" t="n">
        <f aca="false">($B29*$B$7+$C29*$C$7)/100</f>
        <v>0.0066</v>
      </c>
      <c r="G29" s="207" t="str">
        <f aca="false">IF(A29="","",IF(ISERROR(VLOOKUP($A29,'[1]liste reference'!$A$7:$P$904,13,0)),IF(ISERROR(VLOOKUP($A29,'[1]liste reference'!$B$7:$P$904,12,0)),"    -",VLOOKUP($A29,'[1]liste reference'!$B$7:$P$904,12,0)),VLOOKUP($A29,'[1]liste reference'!$A$7:$P$904,13,0)))</f>
        <v>BRm</v>
      </c>
      <c r="H29" s="208" t="n">
        <f aca="false">IF(A29="","x",IF(ISERROR(VLOOKUP($A29,'[1]liste reference'!$A$8:$P$904,14,0)),IF(ISERROR(VLOOKUP($A29,'[1]liste reference'!$B$8:$P$904,13,0)),"x",VLOOKUP($A29,'[1]liste reference'!$B$8:$P$904,13,0)),VLOOKUP($A29,'[1]liste reference'!$A$8:$P$904,14,0)))</f>
        <v>5</v>
      </c>
      <c r="I29" s="209" t="n">
        <f aca="false">IF(ISNUMBER(H29),IF(ISERROR(VLOOKUP($A29,'[1]liste reference'!$A$7:$P$904,3,0)),IF(ISERROR(VLOOKUP($A29,'[1]liste reference'!$B$7:$P$904,2,0)),"",VLOOKUP($A29,'[1]liste reference'!$B$7:$P$904,2,0)),VLOOKUP($A29,'[1]liste reference'!$A$7:$P$904,3,0)),"")</f>
        <v>15</v>
      </c>
      <c r="J29" s="209" t="n">
        <f aca="false">IF(ISNUMBER(H29),IF(ISERROR(VLOOKUP($A29,'[1]liste reference'!$A$7:$P$904,4,0)),IF(ISERROR(VLOOKUP($A29,'[1]liste reference'!$B$7:$P$904,3,0)),"",VLOOKUP($A29,'[1]liste reference'!$B$7:$P$904,3,0)),VLOOKUP($A29,'[1]liste reference'!$A$7:$P$904,4,0)),"")</f>
        <v>3</v>
      </c>
      <c r="K29" s="210" t="str">
        <f aca="false">IF(A29="NEWCOD",IF(AB29="","Remplir le champs 'Nouveau taxa' svp.",$AB29),IF(ISTEXT($E29),"DEJA SAISI !",IF(A29="","",IF(ISERROR(VLOOKUP($A29,'[1]liste reference'!$A$7:$D$904,2,0)),IF(ISERROR(VLOOKUP($A29,'[1]liste reference'!$B$7:$D$904,1,0)),"code non répertorié ou synonyme",VLOOKUP($A29,'[1]liste reference'!$B$7:$D$904,1,0)),VLOOKUP(A29,'[1]liste reference'!$A$7:$D$904,2,0)))))</f>
        <v>Schistidium rivulare</v>
      </c>
      <c r="L29" s="225"/>
      <c r="M29" s="225"/>
      <c r="N29" s="225"/>
      <c r="O29" s="212"/>
      <c r="P29" s="213" t="n">
        <f aca="false">IF($A29="NEWCOD",IF($AC29="","No",$AC29),IF(ISTEXT($E29),"DEJA SAISI !",IF($A29="","",IF(ISERROR(VLOOKUP($A29,'[1]liste reference'!A$1:S$1048576,19,FALSE())),IF(ISERROR(VLOOKUP($A29,'[1]liste reference'!B$1:S$1048576,19,FALSE())),"",VLOOKUP($A29,'[1]liste reference'!B$1:S$1048576,19,FALSE())),VLOOKUP($A29,'[1]liste reference'!A$1:S$1048576,19,FALSE())))))</f>
        <v>1327</v>
      </c>
      <c r="Q29" s="214" t="n">
        <f aca="false">IF(ISTEXT(H29),"",(B29*$B$7/100)+(C29*$C$7/100))</f>
        <v>0.0066</v>
      </c>
      <c r="R29" s="215" t="n">
        <f aca="false">IF(OR(ISTEXT(H29),Q29=0),"",IF(Q29&lt;0.1,1,IF(Q29&lt;1,2,IF(Q29&lt;10,3,IF(Q29&lt;50,4,IF(Q29&gt;=50,5,""))))))</f>
        <v>1</v>
      </c>
      <c r="S29" s="215" t="n">
        <f aca="false">IF(ISERROR(R29*I29),0,R29*I29)</f>
        <v>15</v>
      </c>
      <c r="T29" s="215" t="n">
        <f aca="false">IF(ISERROR(R29*I29*J29),0,R29*I29*J29)</f>
        <v>45</v>
      </c>
      <c r="U29" s="226" t="n">
        <f aca="false">IF(ISERROR(R29*J29),0,R29*J29)</f>
        <v>3</v>
      </c>
      <c r="V29" s="216" t="str">
        <f aca="false">IF(AND(A29="",F29=0),"",IF(F29=0,"Il manque le(s) % de rec. !",""))</f>
        <v/>
      </c>
      <c r="W29" s="217"/>
      <c r="Y29" s="215" t="str">
        <f aca="false">IF(A29="new.cod","NEWCOD",IF(AND((Z29=""),ISTEXT(A29)),A29,IF(Z29="","",INDEX('[1]liste reference'!$A$8:$A$904,Z29))))</f>
        <v>SCSRIV</v>
      </c>
      <c r="Z29" s="9" t="n">
        <f aca="false">IF(ISERROR(MATCH(A29,'[1]liste reference'!$A$8:$A$904,0)),IF(ISERROR(MATCH(A29,'[1]liste reference'!$B$8:$B$904,0)),"",(MATCH(A29,'[1]liste reference'!$B$8:$B$904,0))),(MATCH(A29,'[1]liste reference'!$A$8:$A$904,0)))</f>
        <v>255</v>
      </c>
      <c r="AA29" s="218"/>
      <c r="AB29" s="219"/>
      <c r="AC29" s="219"/>
      <c r="BB29" s="9" t="n">
        <f aca="false">IF(A29="","",1)</f>
        <v>1</v>
      </c>
    </row>
    <row r="30" customFormat="false" ht="12.75" hidden="false" customHeight="false" outlineLevel="0" collapsed="false">
      <c r="A30" s="220" t="s">
        <v>16</v>
      </c>
      <c r="B30" s="221"/>
      <c r="C30" s="222" t="n">
        <v>0.3</v>
      </c>
      <c r="D30" s="205" t="str">
        <f aca="false">IF(ISERROR(VLOOKUP($A30,'[1]liste reference'!$A$7:$D$904,2,0)),IF(ISERROR(VLOOKUP($A30,'[1]liste reference'!$B$7:$D$904,1,0)),"",VLOOKUP($A30,'[1]liste reference'!$B$7:$D$904,1,0)),VLOOKUP($A30,'[1]liste reference'!$A$7:$D$904,2,0))</f>
        <v>Glyceria fluitans</v>
      </c>
      <c r="E30" s="223" t="e">
        <f aca="false">IF(D30="",0,VLOOKUP(D30,D$22:D29,1,0))</f>
        <v>#N/A</v>
      </c>
      <c r="F30" s="224" t="n">
        <f aca="false">($B30*$B$7+$C30*$C$7)/100</f>
        <v>0.102</v>
      </c>
      <c r="G30" s="207" t="str">
        <f aca="false">IF(A30="","",IF(ISERROR(VLOOKUP($A30,'[1]liste reference'!$A$7:$P$904,13,0)),IF(ISERROR(VLOOKUP($A30,'[1]liste reference'!$B$7:$P$904,12,0)),"    -",VLOOKUP($A30,'[1]liste reference'!$B$7:$P$904,12,0)),VLOOKUP($A30,'[1]liste reference'!$A$7:$P$904,13,0)))</f>
        <v>PHe</v>
      </c>
      <c r="H30" s="208" t="n">
        <f aca="false">IF(A30="","x",IF(ISERROR(VLOOKUP($A30,'[1]liste reference'!$A$8:$P$904,14,0)),IF(ISERROR(VLOOKUP($A30,'[1]liste reference'!$B$8:$P$904,13,0)),"x",VLOOKUP($A30,'[1]liste reference'!$B$8:$P$904,13,0)),VLOOKUP($A30,'[1]liste reference'!$A$8:$P$904,14,0)))</f>
        <v>8</v>
      </c>
      <c r="I30" s="209" t="n">
        <f aca="false">IF(ISNUMBER(H30),IF(ISERROR(VLOOKUP($A30,'[1]liste reference'!$A$7:$P$904,3,0)),IF(ISERROR(VLOOKUP($A30,'[1]liste reference'!$B$7:$P$904,2,0)),"",VLOOKUP($A30,'[1]liste reference'!$B$7:$P$904,2,0)),VLOOKUP($A30,'[1]liste reference'!$A$7:$P$904,3,0)),"")</f>
        <v>14</v>
      </c>
      <c r="J30" s="209" t="n">
        <f aca="false">IF(ISNUMBER(H30),IF(ISERROR(VLOOKUP($A30,'[1]liste reference'!$A$7:$P$904,4,0)),IF(ISERROR(VLOOKUP($A30,'[1]liste reference'!$B$7:$P$904,3,0)),"",VLOOKUP($A30,'[1]liste reference'!$B$7:$P$904,3,0)),VLOOKUP($A30,'[1]liste reference'!$A$7:$P$904,4,0)),"")</f>
        <v>2</v>
      </c>
      <c r="K30" s="210" t="str">
        <f aca="false">IF(A30="NEWCOD",IF(AB30="","Remplir le champs 'Nouveau taxa' svp.",$AB30),IF(ISTEXT($E30),"DEJA SAISI !",IF(A30="","",IF(ISERROR(VLOOKUP($A30,'[1]liste reference'!$A$7:$D$904,2,0)),IF(ISERROR(VLOOKUP($A30,'[1]liste reference'!$B$7:$D$904,1,0)),"code non répertorié ou synonyme",VLOOKUP($A30,'[1]liste reference'!$B$7:$D$904,1,0)),VLOOKUP(A30,'[1]liste reference'!$A$7:$D$904,2,0)))))</f>
        <v>Glyceria fluitans</v>
      </c>
      <c r="L30" s="225"/>
      <c r="M30" s="225"/>
      <c r="N30" s="225"/>
      <c r="O30" s="212"/>
      <c r="P30" s="213" t="n">
        <f aca="false">IF($A30="NEWCOD",IF($AC30="","No",$AC30),IF(ISTEXT($E30),"DEJA SAISI !",IF($A30="","",IF(ISERROR(VLOOKUP($A30,'[1]liste reference'!A$1:S$1048576,19,FALSE())),IF(ISERROR(VLOOKUP($A30,'[1]liste reference'!B$1:S$1048576,19,FALSE())),"",VLOOKUP($A30,'[1]liste reference'!B$1:S$1048576,19,FALSE())),VLOOKUP($A30,'[1]liste reference'!A$1:S$1048576,19,FALSE())))))</f>
        <v>1564</v>
      </c>
      <c r="Q30" s="214" t="n">
        <f aca="false">IF(ISTEXT(H30),"",(B30*$B$7/100)+(C30*$C$7/100))</f>
        <v>0.102</v>
      </c>
      <c r="R30" s="215" t="n">
        <f aca="false">IF(OR(ISTEXT(H30),Q30=0),"",IF(Q30&lt;0.1,1,IF(Q30&lt;1,2,IF(Q30&lt;10,3,IF(Q30&lt;50,4,IF(Q30&gt;=50,5,""))))))</f>
        <v>2</v>
      </c>
      <c r="S30" s="215" t="n">
        <f aca="false">IF(ISERROR(R30*I30),0,R30*I30)</f>
        <v>28</v>
      </c>
      <c r="T30" s="215" t="n">
        <f aca="false">IF(ISERROR(R30*I30*J30),0,R30*I30*J30)</f>
        <v>56</v>
      </c>
      <c r="U30" s="226" t="n">
        <f aca="false">IF(ISERROR(R30*J30),0,R30*J30)</f>
        <v>4</v>
      </c>
      <c r="V30" s="216" t="str">
        <f aca="false">IF(AND(A30="",F30=0),"",IF(F30=0,"Il manque le(s) % de rec. !",""))</f>
        <v/>
      </c>
      <c r="W30" s="217"/>
      <c r="Y30" s="215" t="str">
        <f aca="false">IF(A30="new.cod","NEWCOD",IF(AND((Z30=""),ISTEXT(A30)),A30,IF(Z30="","",INDEX('[1]liste reference'!$A$8:$A$904,Z30))))</f>
        <v>GLYFLU</v>
      </c>
      <c r="Z30" s="9" t="n">
        <f aca="false">IF(ISERROR(MATCH(A30,'[1]liste reference'!$A$8:$A$904,0)),IF(ISERROR(MATCH(A30,'[1]liste reference'!$B$8:$B$904,0)),"",(MATCH(A30,'[1]liste reference'!$B$8:$B$904,0))),(MATCH(A30,'[1]liste reference'!$A$8:$A$904,0)))</f>
        <v>575</v>
      </c>
      <c r="AA30" s="218"/>
      <c r="AB30" s="219"/>
      <c r="AC30" s="219"/>
      <c r="BB30" s="9" t="n">
        <f aca="false">IF(A30="","",1)</f>
        <v>1</v>
      </c>
    </row>
    <row r="31" customFormat="false" ht="12.75" hidden="false" customHeight="false" outlineLevel="0" collapsed="false">
      <c r="A31" s="220"/>
      <c r="B31" s="221"/>
      <c r="C31" s="222"/>
      <c r="D31" s="205" t="str">
        <f aca="false">IF(ISERROR(VLOOKUP($A31,'[1]liste reference'!$A$7:$D$904,2,0)),IF(ISERROR(VLOOKUP($A31,'[1]liste reference'!$B$7:$D$904,1,0)),"",VLOOKUP($A31,'[1]liste reference'!$B$7:$D$904,1,0)),VLOOKUP($A31,'[1]liste reference'!$A$7:$D$904,2,0))</f>
        <v/>
      </c>
      <c r="E31" s="223" t="n">
        <f aca="false">IF(D31="",0,VLOOKUP(D31,D$22:D30,1,0))</f>
        <v>0</v>
      </c>
      <c r="F31" s="224" t="n">
        <f aca="false">($B31*$B$7+$C31*$C$7)/100</f>
        <v>0</v>
      </c>
      <c r="G31" s="207" t="str">
        <f aca="false">IF(A31="","",IF(ISERROR(VLOOKUP($A31,'[1]liste reference'!$A$7:$P$904,13,0)),IF(ISERROR(VLOOKUP($A31,'[1]liste reference'!$B$7:$P$904,12,0)),"    -",VLOOKUP($A31,'[1]liste reference'!$B$7:$P$904,12,0)),VLOOKUP($A31,'[1]liste reference'!$A$7:$P$904,13,0)))</f>
        <v/>
      </c>
      <c r="H31" s="208" t="str">
        <f aca="false">IF(A31="","x",IF(ISERROR(VLOOKUP($A31,'[1]liste reference'!$A$8:$P$904,14,0)),IF(ISERROR(VLOOKUP($A31,'[1]liste reference'!$B$8:$P$904,13,0)),"x",VLOOKUP($A31,'[1]liste reference'!$B$8:$P$904,13,0)),VLOOKUP($A31,'[1]liste reference'!$A$8:$P$904,14,0)))</f>
        <v>x</v>
      </c>
      <c r="I31" s="209" t="str">
        <f aca="false">IF(ISNUMBER(H31),IF(ISERROR(VLOOKUP($A31,'[1]liste reference'!$A$7:$P$904,3,0)),IF(ISERROR(VLOOKUP($A31,'[1]liste reference'!$B$7:$P$904,2,0)),"",VLOOKUP($A31,'[1]liste reference'!$B$7:$P$904,2,0)),VLOOKUP($A31,'[1]liste reference'!$A$7:$P$904,3,0)),"")</f>
        <v/>
      </c>
      <c r="J31" s="209" t="str">
        <f aca="false">IF(ISNUMBER(H31),IF(ISERROR(VLOOKUP($A31,'[1]liste reference'!$A$7:$P$904,4,0)),IF(ISERROR(VLOOKUP($A31,'[1]liste reference'!$B$7:$P$904,3,0)),"",VLOOKUP($A31,'[1]liste reference'!$B$7:$P$904,3,0)),VLOOKUP($A31,'[1]liste reference'!$A$7:$P$904,4,0)),"")</f>
        <v/>
      </c>
      <c r="K31" s="210" t="str">
        <f aca="false">IF(A31="NEWCOD",IF(AB31="","Remplir le champs 'Nouveau taxa' svp.",$AB31),IF(ISTEXT($E31),"DEJA SAISI !",IF(A31="","",IF(ISERROR(VLOOKUP($A31,'[1]liste reference'!$A$7:$D$904,2,0)),IF(ISERROR(VLOOKUP($A31,'[1]liste reference'!$B$7:$D$904,1,0)),"code non répertorié ou synonyme",VLOOKUP($A31,'[1]liste reference'!$B$7:$D$904,1,0)),VLOOKUP(A31,'[1]liste reference'!$A$7:$D$904,2,0)))))</f>
        <v/>
      </c>
      <c r="L31" s="225"/>
      <c r="M31" s="225"/>
      <c r="N31" s="225"/>
      <c r="O31" s="212"/>
      <c r="P31" s="213" t="str">
        <f aca="false">IF($A31="NEWCOD",IF($AC31="","No",$AC31),IF(ISTEXT($E31),"DEJA SAISI !",IF($A31="","",IF(ISERROR(VLOOKUP($A31,'[1]liste reference'!A$1:S$1048576,19,FALSE())),IF(ISERROR(VLOOKUP($A31,'[1]liste reference'!B$1:S$1048576,19,FALSE())),"",VLOOKUP($A31,'[1]liste reference'!B$1:S$1048576,19,FALSE())),VLOOKUP($A31,'[1]liste reference'!A$1:S$1048576,19,FALSE())))))</f>
        <v/>
      </c>
      <c r="Q31" s="214" t="str">
        <f aca="false">IF(ISTEXT(H31),"",(B31*$B$7/100)+(C31*$C$7/100))</f>
        <v/>
      </c>
      <c r="R31" s="215" t="str">
        <f aca="false">IF(OR(ISTEXT(H31),Q31=0),"",IF(Q31&lt;0.1,1,IF(Q31&lt;1,2,IF(Q31&lt;10,3,IF(Q31&lt;50,4,IF(Q31&gt;=50,5,""))))))</f>
        <v/>
      </c>
      <c r="S31" s="215" t="n">
        <f aca="false">IF(ISERROR(R31*I31),0,R31*I31)</f>
        <v>0</v>
      </c>
      <c r="T31" s="215" t="n">
        <f aca="false">IF(ISERROR(R31*I31*J31),0,R31*I31*J31)</f>
        <v>0</v>
      </c>
      <c r="U31" s="226" t="n">
        <f aca="false">IF(ISERROR(R31*J31),0,R31*J31)</f>
        <v>0</v>
      </c>
      <c r="V31" s="216" t="str">
        <f aca="false">IF(AND(A31="",F31=0),"",IF(F31=0,"Il manque le(s) % de rec. !",""))</f>
        <v/>
      </c>
      <c r="W31" s="217"/>
      <c r="Y31" s="215" t="str">
        <f aca="false">IF(A31="new.cod","NEWCOD",IF(AND((Z31=""),ISTEXT(A31)),A31,IF(Z31="","",INDEX('[1]liste reference'!$A$8:$A$904,Z31))))</f>
        <v/>
      </c>
      <c r="Z31" s="9" t="str">
        <f aca="false">IF(ISERROR(MATCH(A31,'[1]liste reference'!$A$8:$A$904,0)),IF(ISERROR(MATCH(A31,'[1]liste reference'!$B$8:$B$904,0)),"",(MATCH(A31,'[1]liste reference'!$B$8:$B$904,0))),(MATCH(A31,'[1]liste reference'!$A$8:$A$904,0)))</f>
        <v/>
      </c>
      <c r="AA31" s="218"/>
      <c r="AB31" s="219"/>
      <c r="AC31" s="219"/>
      <c r="BB31" s="9" t="str">
        <f aca="false">IF(A31="","",1)</f>
        <v/>
      </c>
    </row>
    <row r="32" customFormat="false" ht="12.75" hidden="false" customHeight="false" outlineLevel="0" collapsed="false">
      <c r="A32" s="220"/>
      <c r="B32" s="221"/>
      <c r="C32" s="222"/>
      <c r="D32" s="205" t="str">
        <f aca="false">IF(ISERROR(VLOOKUP($A32,'[1]liste reference'!$A$7:$D$904,2,0)),IF(ISERROR(VLOOKUP($A32,'[1]liste reference'!$B$7:$D$904,1,0)),"",VLOOKUP($A32,'[1]liste reference'!$B$7:$D$904,1,0)),VLOOKUP($A32,'[1]liste reference'!$A$7:$D$904,2,0))</f>
        <v/>
      </c>
      <c r="E32" s="223" t="n">
        <f aca="false">IF(D32="",0,VLOOKUP(D32,D$22:D31,1,0))</f>
        <v>0</v>
      </c>
      <c r="F32" s="224" t="n">
        <f aca="false">($B32*$B$7+$C32*$C$7)/100</f>
        <v>0</v>
      </c>
      <c r="G32" s="207" t="str">
        <f aca="false">IF(A32="","",IF(ISERROR(VLOOKUP($A32,'[1]liste reference'!$A$7:$P$904,13,0)),IF(ISERROR(VLOOKUP($A32,'[1]liste reference'!$B$7:$P$904,12,0)),"    -",VLOOKUP($A32,'[1]liste reference'!$B$7:$P$904,12,0)),VLOOKUP($A32,'[1]liste reference'!$A$7:$P$904,13,0)))</f>
        <v/>
      </c>
      <c r="H32" s="208" t="str">
        <f aca="false">IF(A32="","x",IF(ISERROR(VLOOKUP($A32,'[1]liste reference'!$A$8:$P$904,14,0)),IF(ISERROR(VLOOKUP($A32,'[1]liste reference'!$B$8:$P$904,13,0)),"x",VLOOKUP($A32,'[1]liste reference'!$B$8:$P$904,13,0)),VLOOKUP($A32,'[1]liste reference'!$A$8:$P$904,14,0)))</f>
        <v>x</v>
      </c>
      <c r="I32" s="209" t="str">
        <f aca="false">IF(ISNUMBER(H32),IF(ISERROR(VLOOKUP($A32,'[1]liste reference'!$A$7:$P$904,3,0)),IF(ISERROR(VLOOKUP($A32,'[1]liste reference'!$B$7:$P$904,2,0)),"",VLOOKUP($A32,'[1]liste reference'!$B$7:$P$904,2,0)),VLOOKUP($A32,'[1]liste reference'!$A$7:$P$904,3,0)),"")</f>
        <v/>
      </c>
      <c r="J32" s="209" t="str">
        <f aca="false">IF(ISNUMBER(H32),IF(ISERROR(VLOOKUP($A32,'[1]liste reference'!$A$7:$P$904,4,0)),IF(ISERROR(VLOOKUP($A32,'[1]liste reference'!$B$7:$P$904,3,0)),"",VLOOKUP($A32,'[1]liste reference'!$B$7:$P$904,3,0)),VLOOKUP($A32,'[1]liste reference'!$A$7:$P$904,4,0)),"")</f>
        <v/>
      </c>
      <c r="K32" s="210" t="str">
        <f aca="false">IF(A32="NEWCOD",IF(AB32="","Remplir le champs 'Nouveau taxa' svp.",$AB32),IF(ISTEXT($E32),"DEJA SAISI !",IF(A32="","",IF(ISERROR(VLOOKUP($A32,'[1]liste reference'!$A$7:$D$904,2,0)),IF(ISERROR(VLOOKUP($A32,'[1]liste reference'!$B$7:$D$904,1,0)),"code non répertorié ou synonyme",VLOOKUP($A32,'[1]liste reference'!$B$7:$D$904,1,0)),VLOOKUP(A32,'[1]liste reference'!$A$7:$D$904,2,0)))))</f>
        <v/>
      </c>
      <c r="L32" s="225"/>
      <c r="M32" s="225"/>
      <c r="N32" s="225"/>
      <c r="O32" s="212"/>
      <c r="P32" s="213" t="str">
        <f aca="false">IF($A32="NEWCOD",IF($AC32="","No",$AC32),IF(ISTEXT($E32),"DEJA SAISI !",IF($A32="","",IF(ISERROR(VLOOKUP($A32,'[1]liste reference'!A$1:S$1048576,19,FALSE())),IF(ISERROR(VLOOKUP($A32,'[1]liste reference'!B$1:S$1048576,19,FALSE())),"",VLOOKUP($A32,'[1]liste reference'!B$1:S$1048576,19,FALSE())),VLOOKUP($A32,'[1]liste reference'!A$1:S$1048576,19,FALSE())))))</f>
        <v/>
      </c>
      <c r="Q32" s="214" t="str">
        <f aca="false">IF(ISTEXT(H32),"",(B32*$B$7/100)+(C32*$C$7/100))</f>
        <v/>
      </c>
      <c r="R32" s="215" t="str">
        <f aca="false">IF(OR(ISTEXT(H32),Q32=0),"",IF(Q32&lt;0.1,1,IF(Q32&lt;1,2,IF(Q32&lt;10,3,IF(Q32&lt;50,4,IF(Q32&gt;=50,5,""))))))</f>
        <v/>
      </c>
      <c r="S32" s="215" t="n">
        <f aca="false">IF(ISERROR(R32*I32),0,R32*I32)</f>
        <v>0</v>
      </c>
      <c r="T32" s="215" t="n">
        <f aca="false">IF(ISERROR(R32*I32*J32),0,R32*I32*J32)</f>
        <v>0</v>
      </c>
      <c r="U32" s="226" t="n">
        <f aca="false">IF(ISERROR(R32*J32),0,R32*J32)</f>
        <v>0</v>
      </c>
      <c r="V32" s="216" t="str">
        <f aca="false">IF(AND(A32="",F32=0),"",IF(F32=0,"Il manque le(s) % de rec. !",""))</f>
        <v/>
      </c>
      <c r="W32" s="217"/>
      <c r="Y32" s="215" t="str">
        <f aca="false">IF(A32="new.cod","NEWCOD",IF(AND((Z32=""),ISTEXT(A32)),A32,IF(Z32="","",INDEX('[1]liste reference'!$A$8:$A$904,Z32))))</f>
        <v/>
      </c>
      <c r="Z32" s="9" t="str">
        <f aca="false">IF(ISERROR(MATCH(A32,'[1]liste reference'!$A$8:$A$904,0)),IF(ISERROR(MATCH(A32,'[1]liste reference'!$B$8:$B$904,0)),"",(MATCH(A32,'[1]liste reference'!$B$8:$B$904,0))),(MATCH(A32,'[1]liste reference'!$A$8:$A$904,0)))</f>
        <v/>
      </c>
      <c r="AA32" s="218"/>
      <c r="AB32" s="219"/>
      <c r="AC32" s="219"/>
      <c r="BB32" s="9" t="str">
        <f aca="false">IF(A32="","",1)</f>
        <v/>
      </c>
    </row>
    <row r="33" customFormat="false" ht="12.75" hidden="false" customHeight="false" outlineLevel="0" collapsed="false">
      <c r="A33" s="220"/>
      <c r="B33" s="221"/>
      <c r="C33" s="222"/>
      <c r="D33" s="205" t="str">
        <f aca="false">IF(ISERROR(VLOOKUP($A33,'[1]liste reference'!$A$7:$D$904,2,0)),IF(ISERROR(VLOOKUP($A33,'[1]liste reference'!$B$7:$D$904,1,0)),"",VLOOKUP($A33,'[1]liste reference'!$B$7:$D$904,1,0)),VLOOKUP($A33,'[1]liste reference'!$A$7:$D$904,2,0))</f>
        <v/>
      </c>
      <c r="E33" s="223" t="n">
        <f aca="false">IF(D33="",0,VLOOKUP(D33,D$22:D32,1,0))</f>
        <v>0</v>
      </c>
      <c r="F33" s="224" t="n">
        <f aca="false">($B33*$B$7+$C33*$C$7)/100</f>
        <v>0</v>
      </c>
      <c r="G33" s="207" t="str">
        <f aca="false">IF(A33="","",IF(ISERROR(VLOOKUP($A33,'[1]liste reference'!$A$7:$P$904,13,0)),IF(ISERROR(VLOOKUP($A33,'[1]liste reference'!$B$7:$P$904,12,0)),"    -",VLOOKUP($A33,'[1]liste reference'!$B$7:$P$904,12,0)),VLOOKUP($A33,'[1]liste reference'!$A$7:$P$904,13,0)))</f>
        <v/>
      </c>
      <c r="H33" s="208" t="str">
        <f aca="false">IF(A33="","x",IF(ISERROR(VLOOKUP($A33,'[1]liste reference'!$A$8:$P$904,14,0)),IF(ISERROR(VLOOKUP($A33,'[1]liste reference'!$B$8:$P$904,13,0)),"x",VLOOKUP($A33,'[1]liste reference'!$B$8:$P$904,13,0)),VLOOKUP($A33,'[1]liste reference'!$A$8:$P$904,14,0)))</f>
        <v>x</v>
      </c>
      <c r="I33" s="209" t="str">
        <f aca="false">IF(ISNUMBER(H33),IF(ISERROR(VLOOKUP($A33,'[1]liste reference'!$A$7:$P$904,3,0)),IF(ISERROR(VLOOKUP($A33,'[1]liste reference'!$B$7:$P$904,2,0)),"",VLOOKUP($A33,'[1]liste reference'!$B$7:$P$904,2,0)),VLOOKUP($A33,'[1]liste reference'!$A$7:$P$904,3,0)),"")</f>
        <v/>
      </c>
      <c r="J33" s="209" t="str">
        <f aca="false">IF(ISNUMBER(H33),IF(ISERROR(VLOOKUP($A33,'[1]liste reference'!$A$7:$P$904,4,0)),IF(ISERROR(VLOOKUP($A33,'[1]liste reference'!$B$7:$P$904,3,0)),"",VLOOKUP($A33,'[1]liste reference'!$B$7:$P$904,3,0)),VLOOKUP($A33,'[1]liste reference'!$A$7:$P$904,4,0)),"")</f>
        <v/>
      </c>
      <c r="K33" s="210" t="str">
        <f aca="false">IF(A33="NEWCOD",IF(AB33="","Remplir le champs 'Nouveau taxa' svp.",$AB33),IF(ISTEXT($E33),"DEJA SAISI !",IF(A33="","",IF(ISERROR(VLOOKUP($A33,'[1]liste reference'!$A$7:$D$904,2,0)),IF(ISERROR(VLOOKUP($A33,'[1]liste reference'!$B$7:$D$904,1,0)),"code non répertorié ou synonyme",VLOOKUP($A33,'[1]liste reference'!$B$7:$D$904,1,0)),VLOOKUP(A33,'[1]liste reference'!$A$7:$D$904,2,0)))))</f>
        <v/>
      </c>
      <c r="L33" s="225"/>
      <c r="M33" s="225"/>
      <c r="N33" s="225"/>
      <c r="O33" s="212"/>
      <c r="P33" s="213" t="str">
        <f aca="false">IF($A33="NEWCOD",IF($AC33="","No",$AC33),IF(ISTEXT($E33),"DEJA SAISI !",IF($A33="","",IF(ISERROR(VLOOKUP($A33,'[1]liste reference'!A$1:S$1048576,19,FALSE())),IF(ISERROR(VLOOKUP($A33,'[1]liste reference'!B$1:S$1048576,19,FALSE())),"",VLOOKUP($A33,'[1]liste reference'!B$1:S$1048576,19,FALSE())),VLOOKUP($A33,'[1]liste reference'!A$1:S$1048576,19,FALSE())))))</f>
        <v/>
      </c>
      <c r="Q33" s="214" t="str">
        <f aca="false">IF(ISTEXT(H33),"",(B33*$B$7/100)+(C33*$C$7/100))</f>
        <v/>
      </c>
      <c r="R33" s="215" t="str">
        <f aca="false">IF(OR(ISTEXT(H33),Q33=0),"",IF(Q33&lt;0.1,1,IF(Q33&lt;1,2,IF(Q33&lt;10,3,IF(Q33&lt;50,4,IF(Q33&gt;=50,5,""))))))</f>
        <v/>
      </c>
      <c r="S33" s="215" t="n">
        <f aca="false">IF(ISERROR(R33*I33),0,R33*I33)</f>
        <v>0</v>
      </c>
      <c r="T33" s="215" t="n">
        <f aca="false">IF(ISERROR(R33*I33*J33),0,R33*I33*J33)</f>
        <v>0</v>
      </c>
      <c r="U33" s="226" t="n">
        <f aca="false">IF(ISERROR(R33*J33),0,R33*J33)</f>
        <v>0</v>
      </c>
      <c r="V33" s="216" t="str">
        <f aca="false">IF(AND(A33="",F33=0),"",IF(F33=0,"Il manque le(s) % de rec. !",""))</f>
        <v/>
      </c>
      <c r="W33" s="217"/>
      <c r="Y33" s="215" t="str">
        <f aca="false">IF(A33="new.cod","NEWCOD",IF(AND((Z33=""),ISTEXT(A33)),A33,IF(Z33="","",INDEX('[1]liste reference'!$A$8:$A$904,Z33))))</f>
        <v/>
      </c>
      <c r="Z33" s="9" t="str">
        <f aca="false">IF(ISERROR(MATCH(A33,'[1]liste reference'!$A$8:$A$904,0)),IF(ISERROR(MATCH(A33,'[1]liste reference'!$B$8:$B$904,0)),"",(MATCH(A33,'[1]liste reference'!$B$8:$B$904,0))),(MATCH(A33,'[1]liste reference'!$A$8:$A$904,0)))</f>
        <v/>
      </c>
      <c r="AA33" s="218"/>
      <c r="AB33" s="219"/>
      <c r="AC33" s="219"/>
      <c r="BB33" s="9" t="str">
        <f aca="false">IF(A33="","",1)</f>
        <v/>
      </c>
    </row>
    <row r="34" customFormat="false" ht="12.75" hidden="false" customHeight="false" outlineLevel="0" collapsed="false">
      <c r="A34" s="220"/>
      <c r="B34" s="221"/>
      <c r="C34" s="222"/>
      <c r="D34" s="205" t="str">
        <f aca="false">IF(ISERROR(VLOOKUP($A34,'[1]liste reference'!$A$7:$D$904,2,0)),IF(ISERROR(VLOOKUP($A34,'[1]liste reference'!$B$7:$D$904,1,0)),"",VLOOKUP($A34,'[1]liste reference'!$B$7:$D$904,1,0)),VLOOKUP($A34,'[1]liste reference'!$A$7:$D$904,2,0))</f>
        <v/>
      </c>
      <c r="E34" s="223" t="n">
        <f aca="false">IF(D34="",0,VLOOKUP(D34,D$22:D33,1,0))</f>
        <v>0</v>
      </c>
      <c r="F34" s="228" t="n">
        <f aca="false">($B34*$B$7+$C34*$C$7)/100</f>
        <v>0</v>
      </c>
      <c r="G34" s="207" t="str">
        <f aca="false">IF(A34="","",IF(ISERROR(VLOOKUP($A34,'[1]liste reference'!$A$7:$P$904,13,0)),IF(ISERROR(VLOOKUP($A34,'[1]liste reference'!$B$7:$P$904,12,0)),"    -",VLOOKUP($A34,'[1]liste reference'!$B$7:$P$904,12,0)),VLOOKUP($A34,'[1]liste reference'!$A$7:$P$904,13,0)))</f>
        <v/>
      </c>
      <c r="H34" s="208" t="str">
        <f aca="false">IF(A34="","x",IF(ISERROR(VLOOKUP($A34,'[1]liste reference'!$A$8:$P$904,14,0)),IF(ISERROR(VLOOKUP($A34,'[1]liste reference'!$B$8:$P$904,13,0)),"x",VLOOKUP($A34,'[1]liste reference'!$B$8:$P$904,13,0)),VLOOKUP($A34,'[1]liste reference'!$A$8:$P$904,14,0)))</f>
        <v>x</v>
      </c>
      <c r="I34" s="209" t="str">
        <f aca="false">IF(ISNUMBER(H34),IF(ISERROR(VLOOKUP($A34,'[1]liste reference'!$A$7:$P$904,3,0)),IF(ISERROR(VLOOKUP($A34,'[1]liste reference'!$B$7:$P$904,2,0)),"",VLOOKUP($A34,'[1]liste reference'!$B$7:$P$904,2,0)),VLOOKUP($A34,'[1]liste reference'!$A$7:$P$904,3,0)),"")</f>
        <v/>
      </c>
      <c r="J34" s="209" t="str">
        <f aca="false">IF(ISNUMBER(H34),IF(ISERROR(VLOOKUP($A34,'[1]liste reference'!$A$7:$P$904,4,0)),IF(ISERROR(VLOOKUP($A34,'[1]liste reference'!$B$7:$P$904,3,0)),"",VLOOKUP($A34,'[1]liste reference'!$B$7:$P$904,3,0)),VLOOKUP($A34,'[1]liste reference'!$A$7:$P$904,4,0)),"")</f>
        <v/>
      </c>
      <c r="K34" s="210" t="str">
        <f aca="false">IF(A34="NEWCOD",IF(AB34="","Remplir le champs 'Nouveau taxa' svp.",$AB34),IF(ISTEXT($E34),"DEJA SAISI !",IF(A34="","",IF(ISERROR(VLOOKUP($A34,'[1]liste reference'!$A$7:$D$904,2,0)),IF(ISERROR(VLOOKUP($A34,'[1]liste reference'!$B$7:$D$904,1,0)),"code non répertorié ou synonyme",VLOOKUP($A34,'[1]liste reference'!$B$7:$D$904,1,0)),VLOOKUP(A34,'[1]liste reference'!$A$7:$D$904,2,0)))))</f>
        <v/>
      </c>
      <c r="L34" s="225"/>
      <c r="M34" s="225"/>
      <c r="N34" s="225"/>
      <c r="O34" s="212"/>
      <c r="P34" s="213" t="str">
        <f aca="false">IF($A34="NEWCOD",IF($AC34="","No",$AC34),IF(ISTEXT($E34),"DEJA SAISI !",IF($A34="","",IF(ISERROR(VLOOKUP($A34,'[1]liste reference'!A$1:S$1048576,19,FALSE())),IF(ISERROR(VLOOKUP($A34,'[1]liste reference'!B$1:S$1048576,19,FALSE())),"",VLOOKUP($A34,'[1]liste reference'!B$1:S$1048576,19,FALSE())),VLOOKUP($A34,'[1]liste reference'!A$1:S$1048576,19,FALSE())))))</f>
        <v/>
      </c>
      <c r="Q34" s="214" t="str">
        <f aca="false">IF(ISTEXT(H34),"",(B34*$B$7/100)+(C34*$C$7/100))</f>
        <v/>
      </c>
      <c r="R34" s="215" t="str">
        <f aca="false">IF(OR(ISTEXT(H34),Q34=0),"",IF(Q34&lt;0.1,1,IF(Q34&lt;1,2,IF(Q34&lt;10,3,IF(Q34&lt;50,4,IF(Q34&gt;=50,5,""))))))</f>
        <v/>
      </c>
      <c r="S34" s="215" t="n">
        <f aca="false">IF(ISERROR(R34*I34),0,R34*I34)</f>
        <v>0</v>
      </c>
      <c r="T34" s="215" t="n">
        <f aca="false">IF(ISERROR(R34*I34*J34),0,R34*I34*J34)</f>
        <v>0</v>
      </c>
      <c r="U34" s="226" t="n">
        <f aca="false">IF(ISERROR(R34*J34),0,R34*J34)</f>
        <v>0</v>
      </c>
      <c r="V34" s="216" t="str">
        <f aca="false">IF(AND(A34="",F34=0),"",IF(F34=0,"Il manque le(s) % de rec. !",""))</f>
        <v/>
      </c>
      <c r="W34" s="217"/>
      <c r="Y34" s="215" t="str">
        <f aca="false">IF(A34="new.cod","NEWCOD",IF(AND((Z34=""),ISTEXT(A34)),A34,IF(Z34="","",INDEX('[1]liste reference'!$A$8:$A$904,Z34))))</f>
        <v/>
      </c>
      <c r="Z34" s="9" t="str">
        <f aca="false">IF(ISERROR(MATCH(A34,'[1]liste reference'!$A$8:$A$904,0)),IF(ISERROR(MATCH(A34,'[1]liste reference'!$B$8:$B$904,0)),"",(MATCH(A34,'[1]liste reference'!$B$8:$B$904,0))),(MATCH(A34,'[1]liste reference'!$A$8:$A$904,0)))</f>
        <v/>
      </c>
      <c r="AA34" s="218"/>
      <c r="AB34" s="219"/>
      <c r="AC34" s="219"/>
      <c r="BB34" s="9" t="str">
        <f aca="false">IF(A34="","",1)</f>
        <v/>
      </c>
    </row>
    <row r="35" customFormat="false" ht="12.75" hidden="false" customHeight="false" outlineLevel="0" collapsed="false">
      <c r="A35" s="220"/>
      <c r="B35" s="221"/>
      <c r="C35" s="222"/>
      <c r="D35" s="205" t="str">
        <f aca="false">IF(ISERROR(VLOOKUP($A35,'[1]liste reference'!$A$7:$D$904,2,0)),IF(ISERROR(VLOOKUP($A35,'[1]liste reference'!$B$7:$D$904,1,0)),"",VLOOKUP($A35,'[1]liste reference'!$B$7:$D$904,1,0)),VLOOKUP($A35,'[1]liste reference'!$A$7:$D$904,2,0))</f>
        <v/>
      </c>
      <c r="E35" s="223" t="n">
        <f aca="false">IF(D35="",0,VLOOKUP(D35,D$22:D34,1,0))</f>
        <v>0</v>
      </c>
      <c r="F35" s="228" t="n">
        <f aca="false">($B35*$B$7+$C35*$C$7)/100</f>
        <v>0</v>
      </c>
      <c r="G35" s="207" t="str">
        <f aca="false">IF(A35="","",IF(ISERROR(VLOOKUP($A35,'[1]liste reference'!$A$7:$P$904,13,0)),IF(ISERROR(VLOOKUP($A35,'[1]liste reference'!$B$7:$P$904,12,0)),"    -",VLOOKUP($A35,'[1]liste reference'!$B$7:$P$904,12,0)),VLOOKUP($A35,'[1]liste reference'!$A$7:$P$904,13,0)))</f>
        <v/>
      </c>
      <c r="H35" s="208" t="str">
        <f aca="false">IF(A35="","x",IF(ISERROR(VLOOKUP($A35,'[1]liste reference'!$A$8:$P$904,14,0)),IF(ISERROR(VLOOKUP($A35,'[1]liste reference'!$B$8:$P$904,13,0)),"x",VLOOKUP($A35,'[1]liste reference'!$B$8:$P$904,13,0)),VLOOKUP($A35,'[1]liste reference'!$A$8:$P$904,14,0)))</f>
        <v>x</v>
      </c>
      <c r="I35" s="209" t="str">
        <f aca="false">IF(ISNUMBER(H35),IF(ISERROR(VLOOKUP($A35,'[1]liste reference'!$A$7:$P$904,3,0)),IF(ISERROR(VLOOKUP($A35,'[1]liste reference'!$B$7:$P$904,2,0)),"",VLOOKUP($A35,'[1]liste reference'!$B$7:$P$904,2,0)),VLOOKUP($A35,'[1]liste reference'!$A$7:$P$904,3,0)),"")</f>
        <v/>
      </c>
      <c r="J35" s="209" t="str">
        <f aca="false">IF(ISNUMBER(H35),IF(ISERROR(VLOOKUP($A35,'[1]liste reference'!$A$7:$P$904,4,0)),IF(ISERROR(VLOOKUP($A35,'[1]liste reference'!$B$7:$P$904,3,0)),"",VLOOKUP($A35,'[1]liste reference'!$B$7:$P$904,3,0)),VLOOKUP($A35,'[1]liste reference'!$A$7:$P$904,4,0)),"")</f>
        <v/>
      </c>
      <c r="K35" s="210" t="str">
        <f aca="false">IF(A35="NEWCOD",IF(AB35="","Remplir le champs 'Nouveau taxa' svp.",$AB35),IF(ISTEXT($E35),"DEJA SAISI !",IF(A35="","",IF(ISERROR(VLOOKUP($A35,'[1]liste reference'!$A$7:$D$904,2,0)),IF(ISERROR(VLOOKUP($A35,'[1]liste reference'!$B$7:$D$904,1,0)),"code non répertorié ou synonyme",VLOOKUP($A35,'[1]liste reference'!$B$7:$D$904,1,0)),VLOOKUP(A35,'[1]liste reference'!$A$7:$D$904,2,0)))))</f>
        <v/>
      </c>
      <c r="L35" s="225"/>
      <c r="M35" s="225"/>
      <c r="N35" s="225"/>
      <c r="O35" s="212"/>
      <c r="P35" s="213" t="str">
        <f aca="false">IF($A35="NEWCOD",IF($AC35="","No",$AC35),IF(ISTEXT($E35),"DEJA SAISI !",IF($A35="","",IF(ISERROR(VLOOKUP($A35,'[1]liste reference'!A$1:S$1048576,19,FALSE())),IF(ISERROR(VLOOKUP($A35,'[1]liste reference'!B$1:S$1048576,19,FALSE())),"",VLOOKUP($A35,'[1]liste reference'!B$1:S$1048576,19,FALSE())),VLOOKUP($A35,'[1]liste reference'!A$1:S$1048576,19,FALSE())))))</f>
        <v/>
      </c>
      <c r="Q35" s="214" t="str">
        <f aca="false">IF(ISTEXT(H35),"",(B35*$B$7/100)+(C35*$C$7/100))</f>
        <v/>
      </c>
      <c r="R35" s="215" t="str">
        <f aca="false">IF(OR(ISTEXT(H35),Q35=0),"",IF(Q35&lt;0.1,1,IF(Q35&lt;1,2,IF(Q35&lt;10,3,IF(Q35&lt;50,4,IF(Q35&gt;=50,5,""))))))</f>
        <v/>
      </c>
      <c r="S35" s="215" t="n">
        <f aca="false">IF(ISERROR(R35*I35),0,R35*I35)</f>
        <v>0</v>
      </c>
      <c r="T35" s="215" t="n">
        <f aca="false">IF(ISERROR(R35*I35*J35),0,R35*I35*J35)</f>
        <v>0</v>
      </c>
      <c r="U35" s="226" t="n">
        <f aca="false">IF(ISERROR(R35*J35),0,R35*J35)</f>
        <v>0</v>
      </c>
      <c r="V35" s="216" t="str">
        <f aca="false">IF(AND(A35="",F35=0),"",IF(F35=0,"Il manque le(s) % de rec. !",""))</f>
        <v/>
      </c>
      <c r="W35" s="217"/>
      <c r="Y35" s="215" t="str">
        <f aca="false">IF(A35="new.cod","NEWCOD",IF(AND((Z35=""),ISTEXT(A35)),A35,IF(Z35="","",INDEX('[1]liste reference'!$A$8:$A$904,Z35))))</f>
        <v/>
      </c>
      <c r="Z35" s="9" t="str">
        <f aca="false">IF(ISERROR(MATCH(A35,'[1]liste reference'!$A$8:$A$904,0)),IF(ISERROR(MATCH(A35,'[1]liste reference'!$B$8:$B$904,0)),"",(MATCH(A35,'[1]liste reference'!$B$8:$B$904,0))),(MATCH(A35,'[1]liste reference'!$A$8:$A$904,0)))</f>
        <v/>
      </c>
      <c r="AA35" s="218"/>
      <c r="AB35" s="219"/>
      <c r="AC35" s="219"/>
      <c r="BB35" s="9" t="str">
        <f aca="false">IF(A35="","",1)</f>
        <v/>
      </c>
    </row>
    <row r="36" customFormat="false" ht="12.75" hidden="false" customHeight="false" outlineLevel="0" collapsed="false">
      <c r="A36" s="220"/>
      <c r="B36" s="221"/>
      <c r="C36" s="222"/>
      <c r="D36" s="205" t="str">
        <f aca="false">IF(ISERROR(VLOOKUP($A36,'[1]liste reference'!$A$7:$D$904,2,0)),IF(ISERROR(VLOOKUP($A36,'[1]liste reference'!$B$7:$D$904,1,0)),"",VLOOKUP($A36,'[1]liste reference'!$B$7:$D$904,1,0)),VLOOKUP($A36,'[1]liste reference'!$A$7:$D$904,2,0))</f>
        <v/>
      </c>
      <c r="E36" s="223" t="n">
        <f aca="false">IF(D36="",0,VLOOKUP(D36,D$22:D35,1,0))</f>
        <v>0</v>
      </c>
      <c r="F36" s="228" t="n">
        <f aca="false">($B36*$B$7+$C36*$C$7)/100</f>
        <v>0</v>
      </c>
      <c r="G36" s="207" t="str">
        <f aca="false">IF(A36="","",IF(ISERROR(VLOOKUP($A36,'[1]liste reference'!$A$7:$P$904,13,0)),IF(ISERROR(VLOOKUP($A36,'[1]liste reference'!$B$7:$P$904,12,0)),"    -",VLOOKUP($A36,'[1]liste reference'!$B$7:$P$904,12,0)),VLOOKUP($A36,'[1]liste reference'!$A$7:$P$904,13,0)))</f>
        <v/>
      </c>
      <c r="H36" s="208" t="str">
        <f aca="false">IF(A36="","x",IF(ISERROR(VLOOKUP($A36,'[1]liste reference'!$A$8:$P$904,14,0)),IF(ISERROR(VLOOKUP($A36,'[1]liste reference'!$B$8:$P$904,13,0)),"x",VLOOKUP($A36,'[1]liste reference'!$B$8:$P$904,13,0)),VLOOKUP($A36,'[1]liste reference'!$A$8:$P$904,14,0)))</f>
        <v>x</v>
      </c>
      <c r="I36" s="209" t="str">
        <f aca="false">IF(ISNUMBER(H36),IF(ISERROR(VLOOKUP($A36,'[1]liste reference'!$A$7:$P$904,3,0)),IF(ISERROR(VLOOKUP($A36,'[1]liste reference'!$B$7:$P$904,2,0)),"",VLOOKUP($A36,'[1]liste reference'!$B$7:$P$904,2,0)),VLOOKUP($A36,'[1]liste reference'!$A$7:$P$904,3,0)),"")</f>
        <v/>
      </c>
      <c r="J36" s="209" t="str">
        <f aca="false">IF(ISNUMBER(H36),IF(ISERROR(VLOOKUP($A36,'[1]liste reference'!$A$7:$P$904,4,0)),IF(ISERROR(VLOOKUP($A36,'[1]liste reference'!$B$7:$P$904,3,0)),"",VLOOKUP($A36,'[1]liste reference'!$B$7:$P$904,3,0)),VLOOKUP($A36,'[1]liste reference'!$A$7:$P$904,4,0)),"")</f>
        <v/>
      </c>
      <c r="K36" s="210" t="str">
        <f aca="false">IF(A36="NEWCOD",IF(AB36="","Remplir le champs 'Nouveau taxa' svp.",$AB36),IF(ISTEXT($E36),"DEJA SAISI !",IF(A36="","",IF(ISERROR(VLOOKUP($A36,'[1]liste reference'!$A$7:$D$904,2,0)),IF(ISERROR(VLOOKUP($A36,'[1]liste reference'!$B$7:$D$904,1,0)),"code non répertorié ou synonyme",VLOOKUP($A36,'[1]liste reference'!$B$7:$D$904,1,0)),VLOOKUP(A36,'[1]liste reference'!$A$7:$D$904,2,0)))))</f>
        <v/>
      </c>
      <c r="L36" s="225"/>
      <c r="M36" s="225"/>
      <c r="N36" s="225"/>
      <c r="O36" s="212"/>
      <c r="P36" s="213" t="str">
        <f aca="false">IF($A36="NEWCOD",IF($AC36="","No",$AC36),IF(ISTEXT($E36),"DEJA SAISI !",IF($A36="","",IF(ISERROR(VLOOKUP($A36,'[1]liste reference'!A$1:S$1048576,19,FALSE())),IF(ISERROR(VLOOKUP($A36,'[1]liste reference'!B$1:S$1048576,19,FALSE())),"",VLOOKUP($A36,'[1]liste reference'!B$1:S$1048576,19,FALSE())),VLOOKUP($A36,'[1]liste reference'!A$1:S$1048576,19,FALSE())))))</f>
        <v/>
      </c>
      <c r="Q36" s="214" t="str">
        <f aca="false">IF(ISTEXT(H36),"",(B36*$B$7/100)+(C36*$C$7/100))</f>
        <v/>
      </c>
      <c r="R36" s="215" t="str">
        <f aca="false">IF(OR(ISTEXT(H36),Q36=0),"",IF(Q36&lt;0.1,1,IF(Q36&lt;1,2,IF(Q36&lt;10,3,IF(Q36&lt;50,4,IF(Q36&gt;=50,5,""))))))</f>
        <v/>
      </c>
      <c r="S36" s="215" t="n">
        <f aca="false">IF(ISERROR(R36*I36),0,R36*I36)</f>
        <v>0</v>
      </c>
      <c r="T36" s="215" t="n">
        <f aca="false">IF(ISERROR(R36*I36*J36),0,R36*I36*J36)</f>
        <v>0</v>
      </c>
      <c r="U36" s="226" t="n">
        <f aca="false">IF(ISERROR(R36*J36),0,R36*J36)</f>
        <v>0</v>
      </c>
      <c r="V36" s="216" t="str">
        <f aca="false">IF(AND(A36="",F36=0),"",IF(F36=0,"Il manque le(s) % de rec. !",""))</f>
        <v/>
      </c>
      <c r="W36" s="217"/>
      <c r="Y36" s="215" t="str">
        <f aca="false">IF(A36="new.cod","NEWCOD",IF(AND((Z36=""),ISTEXT(A36)),A36,IF(Z36="","",INDEX('[1]liste reference'!$A$8:$A$904,Z36))))</f>
        <v/>
      </c>
      <c r="Z36" s="9" t="str">
        <f aca="false">IF(ISERROR(MATCH(A36,'[1]liste reference'!$A$8:$A$904,0)),IF(ISERROR(MATCH(A36,'[1]liste reference'!$B$8:$B$904,0)),"",(MATCH(A36,'[1]liste reference'!$B$8:$B$904,0))),(MATCH(A36,'[1]liste reference'!$A$8:$A$904,0)))</f>
        <v/>
      </c>
      <c r="AA36" s="218"/>
      <c r="AB36" s="219"/>
      <c r="AC36" s="219"/>
      <c r="BB36" s="9" t="str">
        <f aca="false">IF(A36="","",1)</f>
        <v/>
      </c>
    </row>
    <row r="37" customFormat="false" ht="12.75" hidden="false" customHeight="false" outlineLevel="0" collapsed="false">
      <c r="A37" s="220"/>
      <c r="B37" s="221"/>
      <c r="C37" s="222"/>
      <c r="D37" s="205" t="str">
        <f aca="false">IF(ISERROR(VLOOKUP($A37,'[1]liste reference'!$A$7:$D$904,2,0)),IF(ISERROR(VLOOKUP($A37,'[1]liste reference'!$B$7:$D$904,1,0)),"",VLOOKUP($A37,'[1]liste reference'!$B$7:$D$904,1,0)),VLOOKUP($A37,'[1]liste reference'!$A$7:$D$904,2,0))</f>
        <v/>
      </c>
      <c r="E37" s="223" t="n">
        <f aca="false">IF(D37="",0,VLOOKUP(D37,D$22:D36,1,0))</f>
        <v>0</v>
      </c>
      <c r="F37" s="228" t="n">
        <f aca="false">($B37*$B$7+$C37*$C$7)/100</f>
        <v>0</v>
      </c>
      <c r="G37" s="207" t="str">
        <f aca="false">IF(A37="","",IF(ISERROR(VLOOKUP($A37,'[1]liste reference'!$A$7:$P$904,13,0)),IF(ISERROR(VLOOKUP($A37,'[1]liste reference'!$B$7:$P$904,12,0)),"    -",VLOOKUP($A37,'[1]liste reference'!$B$7:$P$904,12,0)),VLOOKUP($A37,'[1]liste reference'!$A$7:$P$904,13,0)))</f>
        <v/>
      </c>
      <c r="H37" s="208" t="str">
        <f aca="false">IF(A37="","x",IF(ISERROR(VLOOKUP($A37,'[1]liste reference'!$A$8:$P$904,14,0)),IF(ISERROR(VLOOKUP($A37,'[1]liste reference'!$B$8:$P$904,13,0)),"x",VLOOKUP($A37,'[1]liste reference'!$B$8:$P$904,13,0)),VLOOKUP($A37,'[1]liste reference'!$A$8:$P$904,14,0)))</f>
        <v>x</v>
      </c>
      <c r="I37" s="209" t="str">
        <f aca="false">IF(ISNUMBER(H37),IF(ISERROR(VLOOKUP($A37,'[1]liste reference'!$A$7:$P$904,3,0)),IF(ISERROR(VLOOKUP($A37,'[1]liste reference'!$B$7:$P$904,2,0)),"",VLOOKUP($A37,'[1]liste reference'!$B$7:$P$904,2,0)),VLOOKUP($A37,'[1]liste reference'!$A$7:$P$904,3,0)),"")</f>
        <v/>
      </c>
      <c r="J37" s="209" t="str">
        <f aca="false">IF(ISNUMBER(H37),IF(ISERROR(VLOOKUP($A37,'[1]liste reference'!$A$7:$P$904,4,0)),IF(ISERROR(VLOOKUP($A37,'[1]liste reference'!$B$7:$P$904,3,0)),"",VLOOKUP($A37,'[1]liste reference'!$B$7:$P$904,3,0)),VLOOKUP($A37,'[1]liste reference'!$A$7:$P$904,4,0)),"")</f>
        <v/>
      </c>
      <c r="K37" s="210" t="str">
        <f aca="false">IF(A37="NEWCOD",IF(AB37="","Remplir le champs 'Nouveau taxa' svp.",$AB37),IF(ISTEXT($E37),"DEJA SAISI !",IF(A37="","",IF(ISERROR(VLOOKUP($A37,'[1]liste reference'!$A$7:$D$904,2,0)),IF(ISERROR(VLOOKUP($A37,'[1]liste reference'!$B$7:$D$904,1,0)),"code non répertorié ou synonyme",VLOOKUP($A37,'[1]liste reference'!$B$7:$D$904,1,0)),VLOOKUP(A37,'[1]liste reference'!$A$7:$D$904,2,0)))))</f>
        <v/>
      </c>
      <c r="L37" s="225"/>
      <c r="M37" s="225"/>
      <c r="N37" s="225"/>
      <c r="O37" s="212"/>
      <c r="P37" s="213" t="str">
        <f aca="false">IF($A37="NEWCOD",IF($AC37="","No",$AC37),IF(ISTEXT($E37),"DEJA SAISI !",IF($A37="","",IF(ISERROR(VLOOKUP($A37,'[1]liste reference'!A$1:S$1048576,19,FALSE())),IF(ISERROR(VLOOKUP($A37,'[1]liste reference'!B$1:S$1048576,19,FALSE())),"",VLOOKUP($A37,'[1]liste reference'!B$1:S$1048576,19,FALSE())),VLOOKUP($A37,'[1]liste reference'!A$1:S$1048576,19,FALSE())))))</f>
        <v/>
      </c>
      <c r="Q37" s="214" t="str">
        <f aca="false">IF(ISTEXT(H37),"",(B37*$B$7/100)+(C37*$C$7/100))</f>
        <v/>
      </c>
      <c r="R37" s="215" t="str">
        <f aca="false">IF(OR(ISTEXT(H37),Q37=0),"",IF(Q37&lt;0.1,1,IF(Q37&lt;1,2,IF(Q37&lt;10,3,IF(Q37&lt;50,4,IF(Q37&gt;=50,5,""))))))</f>
        <v/>
      </c>
      <c r="S37" s="215" t="n">
        <f aca="false">IF(ISERROR(R37*I37),0,R37*I37)</f>
        <v>0</v>
      </c>
      <c r="T37" s="215" t="n">
        <f aca="false">IF(ISERROR(R37*I37*J37),0,R37*I37*J37)</f>
        <v>0</v>
      </c>
      <c r="U37" s="226" t="n">
        <f aca="false">IF(ISERROR(R37*J37),0,R37*J37)</f>
        <v>0</v>
      </c>
      <c r="V37" s="216" t="str">
        <f aca="false">IF(AND(A37="",F37=0),"",IF(F37=0,"Il manque le(s) % de rec. !",""))</f>
        <v/>
      </c>
      <c r="W37" s="217"/>
      <c r="Y37" s="215" t="str">
        <f aca="false">IF(A37="new.cod","NEWCOD",IF(AND((Z37=""),ISTEXT(A37)),A37,IF(Z37="","",INDEX('[1]liste reference'!$A$8:$A$904,Z37))))</f>
        <v/>
      </c>
      <c r="Z37" s="9" t="str">
        <f aca="false">IF(ISERROR(MATCH(A37,'[1]liste reference'!$A$8:$A$904,0)),IF(ISERROR(MATCH(A37,'[1]liste reference'!$B$8:$B$904,0)),"",(MATCH(A37,'[1]liste reference'!$B$8:$B$904,0))),(MATCH(A37,'[1]liste reference'!$A$8:$A$904,0)))</f>
        <v/>
      </c>
      <c r="AA37" s="218"/>
      <c r="AB37" s="219"/>
      <c r="AC37" s="219"/>
      <c r="BB37" s="9" t="str">
        <f aca="false">IF(A37="","",1)</f>
        <v/>
      </c>
    </row>
    <row r="38" customFormat="false" ht="12.75" hidden="false" customHeight="false" outlineLevel="0" collapsed="false">
      <c r="A38" s="220"/>
      <c r="B38" s="221"/>
      <c r="C38" s="222"/>
      <c r="D38" s="205" t="str">
        <f aca="false">IF(ISERROR(VLOOKUP($A38,'[1]liste reference'!$A$7:$D$904,2,0)),IF(ISERROR(VLOOKUP($A38,'[1]liste reference'!$B$7:$D$904,1,0)),"",VLOOKUP($A38,'[1]liste reference'!$B$7:$D$904,1,0)),VLOOKUP($A38,'[1]liste reference'!$A$7:$D$904,2,0))</f>
        <v/>
      </c>
      <c r="E38" s="223" t="n">
        <f aca="false">IF(D38="",0,VLOOKUP(D38,D$22:D37,1,0))</f>
        <v>0</v>
      </c>
      <c r="F38" s="228" t="n">
        <f aca="false">($B38*$B$7+$C38*$C$7)/100</f>
        <v>0</v>
      </c>
      <c r="G38" s="207" t="str">
        <f aca="false">IF(A38="","",IF(ISERROR(VLOOKUP($A38,'[1]liste reference'!$A$7:$P$904,13,0)),IF(ISERROR(VLOOKUP($A38,'[1]liste reference'!$B$7:$P$904,12,0)),"    -",VLOOKUP($A38,'[1]liste reference'!$B$7:$P$904,12,0)),VLOOKUP($A38,'[1]liste reference'!$A$7:$P$904,13,0)))</f>
        <v/>
      </c>
      <c r="H38" s="208" t="str">
        <f aca="false">IF(A38="","x",IF(ISERROR(VLOOKUP($A38,'[1]liste reference'!$A$8:$P$904,14,0)),IF(ISERROR(VLOOKUP($A38,'[1]liste reference'!$B$8:$P$904,13,0)),"x",VLOOKUP($A38,'[1]liste reference'!$B$8:$P$904,13,0)),VLOOKUP($A38,'[1]liste reference'!$A$8:$P$904,14,0)))</f>
        <v>x</v>
      </c>
      <c r="I38" s="209" t="str">
        <f aca="false">IF(ISNUMBER(H38),IF(ISERROR(VLOOKUP($A38,'[1]liste reference'!$A$7:$P$904,3,0)),IF(ISERROR(VLOOKUP($A38,'[1]liste reference'!$B$7:$P$904,2,0)),"",VLOOKUP($A38,'[1]liste reference'!$B$7:$P$904,2,0)),VLOOKUP($A38,'[1]liste reference'!$A$7:$P$904,3,0)),"")</f>
        <v/>
      </c>
      <c r="J38" s="209" t="str">
        <f aca="false">IF(ISNUMBER(H38),IF(ISERROR(VLOOKUP($A38,'[1]liste reference'!$A$7:$P$904,4,0)),IF(ISERROR(VLOOKUP($A38,'[1]liste reference'!$B$7:$P$904,3,0)),"",VLOOKUP($A38,'[1]liste reference'!$B$7:$P$904,3,0)),VLOOKUP($A38,'[1]liste reference'!$A$7:$P$904,4,0)),"")</f>
        <v/>
      </c>
      <c r="K38" s="210" t="str">
        <f aca="false">IF(A38="NEWCOD",IF(AB38="","Remplir le champs 'Nouveau taxa' svp.",$AB38),IF(ISTEXT($E38),"DEJA SAISI !",IF(A38="","",IF(ISERROR(VLOOKUP($A38,'[1]liste reference'!$A$7:$D$904,2,0)),IF(ISERROR(VLOOKUP($A38,'[1]liste reference'!$B$7:$D$904,1,0)),"code non répertorié ou synonyme",VLOOKUP($A38,'[1]liste reference'!$B$7:$D$904,1,0)),VLOOKUP(A38,'[1]liste reference'!$A$7:$D$904,2,0)))))</f>
        <v/>
      </c>
      <c r="L38" s="225"/>
      <c r="M38" s="225"/>
      <c r="N38" s="225"/>
      <c r="O38" s="212"/>
      <c r="P38" s="213" t="str">
        <f aca="false">IF($A38="NEWCOD",IF($AC38="","No",$AC38),IF(ISTEXT($E38),"DEJA SAISI !",IF($A38="","",IF(ISERROR(VLOOKUP($A38,'[1]liste reference'!A$1:S$1048576,19,FALSE())),IF(ISERROR(VLOOKUP($A38,'[1]liste reference'!B$1:S$1048576,19,FALSE())),"",VLOOKUP($A38,'[1]liste reference'!B$1:S$1048576,19,FALSE())),VLOOKUP($A38,'[1]liste reference'!A$1:S$1048576,19,FALSE())))))</f>
        <v/>
      </c>
      <c r="Q38" s="214" t="str">
        <f aca="false">IF(ISTEXT(H38),"",(B38*$B$7/100)+(C38*$C$7/100))</f>
        <v/>
      </c>
      <c r="R38" s="215" t="str">
        <f aca="false">IF(OR(ISTEXT(H38),Q38=0),"",IF(Q38&lt;0.1,1,IF(Q38&lt;1,2,IF(Q38&lt;10,3,IF(Q38&lt;50,4,IF(Q38&gt;=50,5,""))))))</f>
        <v/>
      </c>
      <c r="S38" s="215" t="n">
        <f aca="false">IF(ISERROR(R38*I38),0,R38*I38)</f>
        <v>0</v>
      </c>
      <c r="T38" s="215" t="n">
        <f aca="false">IF(ISERROR(R38*I38*J38),0,R38*I38*J38)</f>
        <v>0</v>
      </c>
      <c r="U38" s="226" t="n">
        <f aca="false">IF(ISERROR(R38*J38),0,R38*J38)</f>
        <v>0</v>
      </c>
      <c r="V38" s="216" t="str">
        <f aca="false">IF(AND(A38="",F38=0),"",IF(F38=0,"Il manque le(s) % de rec. !",""))</f>
        <v/>
      </c>
      <c r="W38" s="217"/>
      <c r="Y38" s="215" t="str">
        <f aca="false">IF(A38="new.cod","NEWCOD",IF(AND((Z38=""),ISTEXT(A38)),A38,IF(Z38="","",INDEX('[1]liste reference'!$A$8:$A$904,Z38))))</f>
        <v/>
      </c>
      <c r="Z38" s="9" t="str">
        <f aca="false">IF(ISERROR(MATCH(A38,'[1]liste reference'!$A$8:$A$904,0)),IF(ISERROR(MATCH(A38,'[1]liste reference'!$B$8:$B$904,0)),"",(MATCH(A38,'[1]liste reference'!$B$8:$B$904,0))),(MATCH(A38,'[1]liste reference'!$A$8:$A$904,0)))</f>
        <v/>
      </c>
      <c r="AA38" s="218"/>
      <c r="AB38" s="219"/>
      <c r="AC38" s="219"/>
      <c r="BB38" s="9" t="str">
        <f aca="false">IF(A38="","",1)</f>
        <v/>
      </c>
    </row>
    <row r="39" customFormat="false" ht="12.75" hidden="false" customHeight="false" outlineLevel="0" collapsed="false">
      <c r="A39" s="220"/>
      <c r="B39" s="221"/>
      <c r="C39" s="222"/>
      <c r="D39" s="205" t="str">
        <f aca="false">IF(ISERROR(VLOOKUP($A39,'[1]liste reference'!$A$7:$D$904,2,0)),IF(ISERROR(VLOOKUP($A39,'[1]liste reference'!$B$7:$D$904,1,0)),"",VLOOKUP($A39,'[1]liste reference'!$B$7:$D$904,1,0)),VLOOKUP($A39,'[1]liste reference'!$A$7:$D$904,2,0))</f>
        <v/>
      </c>
      <c r="E39" s="223" t="n">
        <f aca="false">IF(D39="",0,VLOOKUP(D39,D$22:D38,1,0))</f>
        <v>0</v>
      </c>
      <c r="F39" s="228" t="n">
        <f aca="false">($B39*$B$7+$C39*$C$7)/100</f>
        <v>0</v>
      </c>
      <c r="G39" s="207" t="str">
        <f aca="false">IF(A39="","",IF(ISERROR(VLOOKUP($A39,'[1]liste reference'!$A$7:$P$904,13,0)),IF(ISERROR(VLOOKUP($A39,'[1]liste reference'!$B$7:$P$904,12,0)),"    -",VLOOKUP($A39,'[1]liste reference'!$B$7:$P$904,12,0)),VLOOKUP($A39,'[1]liste reference'!$A$7:$P$904,13,0)))</f>
        <v/>
      </c>
      <c r="H39" s="208" t="str">
        <f aca="false">IF(A39="","x",IF(ISERROR(VLOOKUP($A39,'[1]liste reference'!$A$8:$P$904,14,0)),IF(ISERROR(VLOOKUP($A39,'[1]liste reference'!$B$8:$P$904,13,0)),"x",VLOOKUP($A39,'[1]liste reference'!$B$8:$P$904,13,0)),VLOOKUP($A39,'[1]liste reference'!$A$8:$P$904,14,0)))</f>
        <v>x</v>
      </c>
      <c r="I39" s="209" t="str">
        <f aca="false">IF(ISNUMBER(H39),IF(ISERROR(VLOOKUP($A39,'[1]liste reference'!$A$7:$P$904,3,0)),IF(ISERROR(VLOOKUP($A39,'[1]liste reference'!$B$7:$P$904,2,0)),"",VLOOKUP($A39,'[1]liste reference'!$B$7:$P$904,2,0)),VLOOKUP($A39,'[1]liste reference'!$A$7:$P$904,3,0)),"")</f>
        <v/>
      </c>
      <c r="J39" s="209" t="str">
        <f aca="false">IF(ISNUMBER(H39),IF(ISERROR(VLOOKUP($A39,'[1]liste reference'!$A$7:$P$904,4,0)),IF(ISERROR(VLOOKUP($A39,'[1]liste reference'!$B$7:$P$904,3,0)),"",VLOOKUP($A39,'[1]liste reference'!$B$7:$P$904,3,0)),VLOOKUP($A39,'[1]liste reference'!$A$7:$P$904,4,0)),"")</f>
        <v/>
      </c>
      <c r="K39" s="210" t="str">
        <f aca="false">IF(A39="NEWCOD",IF(AB39="","Remplir le champs 'Nouveau taxa' svp.",$AB39),IF(ISTEXT($E39),"DEJA SAISI !",IF(A39="","",IF(ISERROR(VLOOKUP($A39,'[1]liste reference'!$A$7:$D$904,2,0)),IF(ISERROR(VLOOKUP($A39,'[1]liste reference'!$B$7:$D$904,1,0)),"code non répertorié ou synonyme",VLOOKUP($A39,'[1]liste reference'!$B$7:$D$904,1,0)),VLOOKUP(A39,'[1]liste reference'!$A$7:$D$904,2,0)))))</f>
        <v/>
      </c>
      <c r="L39" s="225"/>
      <c r="M39" s="225"/>
      <c r="N39" s="225"/>
      <c r="O39" s="212"/>
      <c r="P39" s="213" t="str">
        <f aca="false">IF($A39="NEWCOD",IF($AC39="","No",$AC39),IF(ISTEXT($E39),"DEJA SAISI !",IF($A39="","",IF(ISERROR(VLOOKUP($A39,'[1]liste reference'!A$1:S$1048576,19,FALSE())),IF(ISERROR(VLOOKUP($A39,'[1]liste reference'!B$1:S$1048576,19,FALSE())),"",VLOOKUP($A39,'[1]liste reference'!B$1:S$1048576,19,FALSE())),VLOOKUP($A39,'[1]liste reference'!A$1:S$1048576,19,FALSE())))))</f>
        <v/>
      </c>
      <c r="Q39" s="214" t="str">
        <f aca="false">IF(ISTEXT(H39),"",(B39*$B$7/100)+(C39*$C$7/100))</f>
        <v/>
      </c>
      <c r="R39" s="215" t="str">
        <f aca="false">IF(OR(ISTEXT(H39),Q39=0),"",IF(Q39&lt;0.1,1,IF(Q39&lt;1,2,IF(Q39&lt;10,3,IF(Q39&lt;50,4,IF(Q39&gt;=50,5,""))))))</f>
        <v/>
      </c>
      <c r="S39" s="215" t="n">
        <f aca="false">IF(ISERROR(R39*I39),0,R39*I39)</f>
        <v>0</v>
      </c>
      <c r="T39" s="215" t="n">
        <f aca="false">IF(ISERROR(R39*I39*J39),0,R39*I39*J39)</f>
        <v>0</v>
      </c>
      <c r="U39" s="226" t="n">
        <f aca="false">IF(ISERROR(R39*J39),0,R39*J39)</f>
        <v>0</v>
      </c>
      <c r="V39" s="216" t="str">
        <f aca="false">IF(AND(A39="",F39=0),"",IF(F39=0,"Il manque le(s) % de rec. !",""))</f>
        <v/>
      </c>
      <c r="W39" s="217"/>
      <c r="Y39" s="215" t="str">
        <f aca="false">IF(A39="new.cod","NEWCOD",IF(AND((Z39=""),ISTEXT(A39)),A39,IF(Z39="","",INDEX('[1]liste reference'!$A$8:$A$904,Z39))))</f>
        <v/>
      </c>
      <c r="Z39" s="9" t="str">
        <f aca="false">IF(ISERROR(MATCH(A39,'[1]liste reference'!$A$8:$A$904,0)),IF(ISERROR(MATCH(A39,'[1]liste reference'!$B$8:$B$904,0)),"",(MATCH(A39,'[1]liste reference'!$B$8:$B$904,0))),(MATCH(A39,'[1]liste reference'!$A$8:$A$904,0)))</f>
        <v/>
      </c>
      <c r="AA39" s="218"/>
      <c r="AB39" s="219"/>
      <c r="AC39" s="219"/>
      <c r="BB39" s="9" t="str">
        <f aca="false">IF(A39="","",1)</f>
        <v/>
      </c>
    </row>
    <row r="40" customFormat="false" ht="12.75" hidden="false" customHeight="false" outlineLevel="0" collapsed="false">
      <c r="A40" s="220"/>
      <c r="B40" s="221"/>
      <c r="C40" s="222"/>
      <c r="D40" s="205" t="str">
        <f aca="false">IF(ISERROR(VLOOKUP($A40,'[1]liste reference'!$A$7:$D$904,2,0)),IF(ISERROR(VLOOKUP($A40,'[1]liste reference'!$B$7:$D$904,1,0)),"",VLOOKUP($A40,'[1]liste reference'!$B$7:$D$904,1,0)),VLOOKUP($A40,'[1]liste reference'!$A$7:$D$904,2,0))</f>
        <v/>
      </c>
      <c r="E40" s="223" t="n">
        <f aca="false">IF(D40="",0,VLOOKUP(D40,D$22:D39,1,0))</f>
        <v>0</v>
      </c>
      <c r="F40" s="228" t="n">
        <f aca="false">($B40*$B$7+$C40*$C$7)/100</f>
        <v>0</v>
      </c>
      <c r="G40" s="207" t="str">
        <f aca="false">IF(A40="","",IF(ISERROR(VLOOKUP($A40,'[1]liste reference'!$A$7:$P$904,13,0)),IF(ISERROR(VLOOKUP($A40,'[1]liste reference'!$B$7:$P$904,12,0)),"    -",VLOOKUP($A40,'[1]liste reference'!$B$7:$P$904,12,0)),VLOOKUP($A40,'[1]liste reference'!$A$7:$P$904,13,0)))</f>
        <v/>
      </c>
      <c r="H40" s="208" t="str">
        <f aca="false">IF(A40="","x",IF(ISERROR(VLOOKUP($A40,'[1]liste reference'!$A$8:$P$904,14,0)),IF(ISERROR(VLOOKUP($A40,'[1]liste reference'!$B$8:$P$904,13,0)),"x",VLOOKUP($A40,'[1]liste reference'!$B$8:$P$904,13,0)),VLOOKUP($A40,'[1]liste reference'!$A$8:$P$904,14,0)))</f>
        <v>x</v>
      </c>
      <c r="I40" s="209" t="str">
        <f aca="false">IF(ISNUMBER(H40),IF(ISERROR(VLOOKUP($A40,'[1]liste reference'!$A$7:$P$904,3,0)),IF(ISERROR(VLOOKUP($A40,'[1]liste reference'!$B$7:$P$904,2,0)),"",VLOOKUP($A40,'[1]liste reference'!$B$7:$P$904,2,0)),VLOOKUP($A40,'[1]liste reference'!$A$7:$P$904,3,0)),"")</f>
        <v/>
      </c>
      <c r="J40" s="209" t="str">
        <f aca="false">IF(ISNUMBER(H40),IF(ISERROR(VLOOKUP($A40,'[1]liste reference'!$A$7:$P$904,4,0)),IF(ISERROR(VLOOKUP($A40,'[1]liste reference'!$B$7:$P$904,3,0)),"",VLOOKUP($A40,'[1]liste reference'!$B$7:$P$904,3,0)),VLOOKUP($A40,'[1]liste reference'!$A$7:$P$904,4,0)),"")</f>
        <v/>
      </c>
      <c r="K40" s="210" t="str">
        <f aca="false">IF(A40="NEWCOD",IF(AB40="","Remplir le champs 'Nouveau taxa' svp.",$AB40),IF(ISTEXT($E40),"DEJA SAISI !",IF(A40="","",IF(ISERROR(VLOOKUP($A40,'[1]liste reference'!$A$7:$D$904,2,0)),IF(ISERROR(VLOOKUP($A40,'[1]liste reference'!$B$7:$D$904,1,0)),"code non répertorié ou synonyme",VLOOKUP($A40,'[1]liste reference'!$B$7:$D$904,1,0)),VLOOKUP(A40,'[1]liste reference'!$A$7:$D$904,2,0)))))</f>
        <v/>
      </c>
      <c r="L40" s="225"/>
      <c r="M40" s="225"/>
      <c r="N40" s="225"/>
      <c r="O40" s="212"/>
      <c r="P40" s="213" t="str">
        <f aca="false">IF($A40="NEWCOD",IF($AC40="","No",$AC40),IF(ISTEXT($E40),"DEJA SAISI !",IF($A40="","",IF(ISERROR(VLOOKUP($A40,'[1]liste reference'!A$1:S$1048576,19,FALSE())),IF(ISERROR(VLOOKUP($A40,'[1]liste reference'!B$1:S$1048576,19,FALSE())),"",VLOOKUP($A40,'[1]liste reference'!B$1:S$1048576,19,FALSE())),VLOOKUP($A40,'[1]liste reference'!A$1:S$1048576,19,FALSE())))))</f>
        <v/>
      </c>
      <c r="Q40" s="214" t="str">
        <f aca="false">IF(ISTEXT(H40),"",(B40*$B$7/100)+(C40*$C$7/100))</f>
        <v/>
      </c>
      <c r="R40" s="215" t="str">
        <f aca="false">IF(OR(ISTEXT(H40),Q40=0),"",IF(Q40&lt;0.1,1,IF(Q40&lt;1,2,IF(Q40&lt;10,3,IF(Q40&lt;50,4,IF(Q40&gt;=50,5,""))))))</f>
        <v/>
      </c>
      <c r="S40" s="215" t="n">
        <f aca="false">IF(ISERROR(R40*I40),0,R40*I40)</f>
        <v>0</v>
      </c>
      <c r="T40" s="215" t="n">
        <f aca="false">IF(ISERROR(R40*I40*J40),0,R40*I40*J40)</f>
        <v>0</v>
      </c>
      <c r="U40" s="226" t="n">
        <f aca="false">IF(ISERROR(R40*J40),0,R40*J40)</f>
        <v>0</v>
      </c>
      <c r="V40" s="216" t="str">
        <f aca="false">IF(AND(A40="",F40=0),"",IF(F40=0,"Il manque le(s) % de rec. !",""))</f>
        <v/>
      </c>
      <c r="W40" s="217"/>
      <c r="Y40" s="215" t="str">
        <f aca="false">IF(A40="new.cod","NEWCOD",IF(AND((Z40=""),ISTEXT(A40)),A40,IF(Z40="","",INDEX('[1]liste reference'!$A$8:$A$904,Z40))))</f>
        <v/>
      </c>
      <c r="Z40" s="9" t="str">
        <f aca="false">IF(ISERROR(MATCH(A40,'[1]liste reference'!$A$8:$A$904,0)),IF(ISERROR(MATCH(A40,'[1]liste reference'!$B$8:$B$904,0)),"",(MATCH(A40,'[1]liste reference'!$B$8:$B$904,0))),(MATCH(A40,'[1]liste reference'!$A$8:$A$904,0)))</f>
        <v/>
      </c>
      <c r="AA40" s="218"/>
      <c r="AB40" s="219"/>
      <c r="AC40" s="219"/>
      <c r="BB40" s="9" t="str">
        <f aca="false">IF(A40="","",1)</f>
        <v/>
      </c>
    </row>
    <row r="41" customFormat="false" ht="12.75" hidden="false" customHeight="false" outlineLevel="0" collapsed="false">
      <c r="A41" s="220"/>
      <c r="B41" s="221"/>
      <c r="C41" s="222"/>
      <c r="D41" s="205" t="str">
        <f aca="false">IF(ISERROR(VLOOKUP($A41,'[1]liste reference'!$A$7:$D$904,2,0)),IF(ISERROR(VLOOKUP($A41,'[1]liste reference'!$B$7:$D$904,1,0)),"",VLOOKUP($A41,'[1]liste reference'!$B$7:$D$904,1,0)),VLOOKUP($A41,'[1]liste reference'!$A$7:$D$904,2,0))</f>
        <v/>
      </c>
      <c r="E41" s="223" t="n">
        <f aca="false">IF(D41="",0,VLOOKUP(D41,D$22:D40,1,0))</f>
        <v>0</v>
      </c>
      <c r="F41" s="228" t="n">
        <f aca="false">($B41*$B$7+$C41*$C$7)/100</f>
        <v>0</v>
      </c>
      <c r="G41" s="207" t="str">
        <f aca="false">IF(A41="","",IF(ISERROR(VLOOKUP($A41,'[1]liste reference'!$A$7:$P$904,13,0)),IF(ISERROR(VLOOKUP($A41,'[1]liste reference'!$B$7:$P$904,12,0)),"    -",VLOOKUP($A41,'[1]liste reference'!$B$7:$P$904,12,0)),VLOOKUP($A41,'[1]liste reference'!$A$7:$P$904,13,0)))</f>
        <v/>
      </c>
      <c r="H41" s="208" t="str">
        <f aca="false">IF(A41="","x",IF(ISERROR(VLOOKUP($A41,'[1]liste reference'!$A$8:$P$904,14,0)),IF(ISERROR(VLOOKUP($A41,'[1]liste reference'!$B$8:$P$904,13,0)),"x",VLOOKUP($A41,'[1]liste reference'!$B$8:$P$904,13,0)),VLOOKUP($A41,'[1]liste reference'!$A$8:$P$904,14,0)))</f>
        <v>x</v>
      </c>
      <c r="I41" s="209" t="str">
        <f aca="false">IF(ISNUMBER(H41),IF(ISERROR(VLOOKUP($A41,'[1]liste reference'!$A$7:$P$904,3,0)),IF(ISERROR(VLOOKUP($A41,'[1]liste reference'!$B$7:$P$904,2,0)),"",VLOOKUP($A41,'[1]liste reference'!$B$7:$P$904,2,0)),VLOOKUP($A41,'[1]liste reference'!$A$7:$P$904,3,0)),"")</f>
        <v/>
      </c>
      <c r="J41" s="209" t="str">
        <f aca="false">IF(ISNUMBER(H41),IF(ISERROR(VLOOKUP($A41,'[1]liste reference'!$A$7:$P$904,4,0)),IF(ISERROR(VLOOKUP($A41,'[1]liste reference'!$B$7:$P$904,3,0)),"",VLOOKUP($A41,'[1]liste reference'!$B$7:$P$904,3,0)),VLOOKUP($A41,'[1]liste reference'!$A$7:$P$904,4,0)),"")</f>
        <v/>
      </c>
      <c r="K41" s="210" t="str">
        <f aca="false">IF(A41="NEWCOD",IF(AB41="","Remplir le champs 'Nouveau taxa' svp.",$AB41),IF(ISTEXT($E41),"DEJA SAISI !",IF(A41="","",IF(ISERROR(VLOOKUP($A41,'[1]liste reference'!$A$7:$D$904,2,0)),IF(ISERROR(VLOOKUP($A41,'[1]liste reference'!$B$7:$D$904,1,0)),"code non répertorié ou synonyme",VLOOKUP($A41,'[1]liste reference'!$B$7:$D$904,1,0)),VLOOKUP(A41,'[1]liste reference'!$A$7:$D$904,2,0)))))</f>
        <v/>
      </c>
      <c r="L41" s="225"/>
      <c r="M41" s="225"/>
      <c r="N41" s="225"/>
      <c r="O41" s="212"/>
      <c r="P41" s="213" t="str">
        <f aca="false">IF($A41="NEWCOD",IF($AC41="","No",$AC41),IF(ISTEXT($E41),"DEJA SAISI !",IF($A41="","",IF(ISERROR(VLOOKUP($A41,'[1]liste reference'!A$1:S$1048576,19,FALSE())),IF(ISERROR(VLOOKUP($A41,'[1]liste reference'!B$1:S$1048576,19,FALSE())),"",VLOOKUP($A41,'[1]liste reference'!B$1:S$1048576,19,FALSE())),VLOOKUP($A41,'[1]liste reference'!A$1:S$1048576,19,FALSE())))))</f>
        <v/>
      </c>
      <c r="Q41" s="214" t="str">
        <f aca="false">IF(ISTEXT(H41),"",(B41*$B$7/100)+(C41*$C$7/100))</f>
        <v/>
      </c>
      <c r="R41" s="215" t="str">
        <f aca="false">IF(OR(ISTEXT(H41),Q41=0),"",IF(Q41&lt;0.1,1,IF(Q41&lt;1,2,IF(Q41&lt;10,3,IF(Q41&lt;50,4,IF(Q41&gt;=50,5,""))))))</f>
        <v/>
      </c>
      <c r="S41" s="215" t="n">
        <f aca="false">IF(ISERROR(R41*I41),0,R41*I41)</f>
        <v>0</v>
      </c>
      <c r="T41" s="215" t="n">
        <f aca="false">IF(ISERROR(R41*I41*J41),0,R41*I41*J41)</f>
        <v>0</v>
      </c>
      <c r="U41" s="226" t="n">
        <f aca="false">IF(ISERROR(R41*J41),0,R41*J41)</f>
        <v>0</v>
      </c>
      <c r="V41" s="216" t="str">
        <f aca="false">IF(AND(A41="",F41=0),"",IF(F41=0,"Il manque le(s) % de rec. !",""))</f>
        <v/>
      </c>
      <c r="W41" s="217"/>
      <c r="Y41" s="215" t="str">
        <f aca="false">IF(A41="new.cod","NEWCOD",IF(AND((Z41=""),ISTEXT(A41)),A41,IF(Z41="","",INDEX('[1]liste reference'!$A$8:$A$904,Z41))))</f>
        <v/>
      </c>
      <c r="Z41" s="9" t="str">
        <f aca="false">IF(ISERROR(MATCH(A41,'[1]liste reference'!$A$8:$A$904,0)),IF(ISERROR(MATCH(A41,'[1]liste reference'!$B$8:$B$904,0)),"",(MATCH(A41,'[1]liste reference'!$B$8:$B$904,0))),(MATCH(A41,'[1]liste reference'!$A$8:$A$904,0)))</f>
        <v/>
      </c>
      <c r="AA41" s="218"/>
      <c r="AB41" s="219"/>
      <c r="AC41" s="219"/>
      <c r="BB41" s="9" t="str">
        <f aca="false">IF(A41="","",1)</f>
        <v/>
      </c>
    </row>
    <row r="42" customFormat="false" ht="12.75" hidden="false" customHeight="false" outlineLevel="0" collapsed="false">
      <c r="A42" s="220"/>
      <c r="B42" s="221"/>
      <c r="C42" s="222"/>
      <c r="D42" s="205" t="str">
        <f aca="false">IF(ISERROR(VLOOKUP($A42,'[1]liste reference'!$A$7:$D$904,2,0)),IF(ISERROR(VLOOKUP($A42,'[1]liste reference'!$B$7:$D$904,1,0)),"",VLOOKUP($A42,'[1]liste reference'!$B$7:$D$904,1,0)),VLOOKUP($A42,'[1]liste reference'!$A$7:$D$904,2,0))</f>
        <v/>
      </c>
      <c r="E42" s="223" t="n">
        <f aca="false">IF(D42="",0,VLOOKUP(D42,D$22:D41,1,0))</f>
        <v>0</v>
      </c>
      <c r="F42" s="228" t="n">
        <f aca="false">($B42*$B$7+$C42*$C$7)/100</f>
        <v>0</v>
      </c>
      <c r="G42" s="207" t="str">
        <f aca="false">IF(A42="","",IF(ISERROR(VLOOKUP($A42,'[1]liste reference'!$A$7:$P$904,13,0)),IF(ISERROR(VLOOKUP($A42,'[1]liste reference'!$B$7:$P$904,12,0)),"    -",VLOOKUP($A42,'[1]liste reference'!$B$7:$P$904,12,0)),VLOOKUP($A42,'[1]liste reference'!$A$7:$P$904,13,0)))</f>
        <v/>
      </c>
      <c r="H42" s="208" t="str">
        <f aca="false">IF(A42="","x",IF(ISERROR(VLOOKUP($A42,'[1]liste reference'!$A$8:$P$904,14,0)),IF(ISERROR(VLOOKUP($A42,'[1]liste reference'!$B$8:$P$904,13,0)),"x",VLOOKUP($A42,'[1]liste reference'!$B$8:$P$904,13,0)),VLOOKUP($A42,'[1]liste reference'!$A$8:$P$904,14,0)))</f>
        <v>x</v>
      </c>
      <c r="I42" s="209" t="str">
        <f aca="false">IF(ISNUMBER(H42),IF(ISERROR(VLOOKUP($A42,'[1]liste reference'!$A$7:$P$904,3,0)),IF(ISERROR(VLOOKUP($A42,'[1]liste reference'!$B$7:$P$904,2,0)),"",VLOOKUP($A42,'[1]liste reference'!$B$7:$P$904,2,0)),VLOOKUP($A42,'[1]liste reference'!$A$7:$P$904,3,0)),"")</f>
        <v/>
      </c>
      <c r="J42" s="209" t="str">
        <f aca="false">IF(ISNUMBER(H42),IF(ISERROR(VLOOKUP($A42,'[1]liste reference'!$A$7:$P$904,4,0)),IF(ISERROR(VLOOKUP($A42,'[1]liste reference'!$B$7:$P$904,3,0)),"",VLOOKUP($A42,'[1]liste reference'!$B$7:$P$904,3,0)),VLOOKUP($A42,'[1]liste reference'!$A$7:$P$904,4,0)),"")</f>
        <v/>
      </c>
      <c r="K42" s="210" t="str">
        <f aca="false">IF(A42="NEWCOD",IF(AB42="","Remplir le champs 'Nouveau taxa' svp.",$AB42),IF(ISTEXT($E42),"DEJA SAISI !",IF(A42="","",IF(ISERROR(VLOOKUP($A42,'[1]liste reference'!$A$7:$D$904,2,0)),IF(ISERROR(VLOOKUP($A42,'[1]liste reference'!$B$7:$D$904,1,0)),"code non répertorié ou synonyme",VLOOKUP($A42,'[1]liste reference'!$B$7:$D$904,1,0)),VLOOKUP(A42,'[1]liste reference'!$A$7:$D$904,2,0)))))</f>
        <v/>
      </c>
      <c r="L42" s="225"/>
      <c r="M42" s="225"/>
      <c r="N42" s="225"/>
      <c r="O42" s="212"/>
      <c r="P42" s="213" t="str">
        <f aca="false">IF($A42="NEWCOD",IF($AC42="","No",$AC42),IF(ISTEXT($E42),"DEJA SAISI !",IF($A42="","",IF(ISERROR(VLOOKUP($A42,'[1]liste reference'!A$1:S$1048576,19,FALSE())),IF(ISERROR(VLOOKUP($A42,'[1]liste reference'!B$1:S$1048576,19,FALSE())),"",VLOOKUP($A42,'[1]liste reference'!B$1:S$1048576,19,FALSE())),VLOOKUP($A42,'[1]liste reference'!A$1:S$1048576,19,FALSE())))))</f>
        <v/>
      </c>
      <c r="Q42" s="214" t="str">
        <f aca="false">IF(ISTEXT(H42),"",(B42*$B$7/100)+(C42*$C$7/100))</f>
        <v/>
      </c>
      <c r="R42" s="215" t="str">
        <f aca="false">IF(OR(ISTEXT(H42),Q42=0),"",IF(Q42&lt;0.1,1,IF(Q42&lt;1,2,IF(Q42&lt;10,3,IF(Q42&lt;50,4,IF(Q42&gt;=50,5,""))))))</f>
        <v/>
      </c>
      <c r="S42" s="215" t="n">
        <f aca="false">IF(ISERROR(R42*I42),0,R42*I42)</f>
        <v>0</v>
      </c>
      <c r="T42" s="215" t="n">
        <f aca="false">IF(ISERROR(R42*I42*J42),0,R42*I42*J42)</f>
        <v>0</v>
      </c>
      <c r="U42" s="226" t="n">
        <f aca="false">IF(ISERROR(R42*J42),0,R42*J42)</f>
        <v>0</v>
      </c>
      <c r="V42" s="216" t="str">
        <f aca="false">IF(AND(A42="",F42=0),"",IF(F42=0,"Il manque le(s) % de rec. !",""))</f>
        <v/>
      </c>
      <c r="W42" s="217"/>
      <c r="Y42" s="215" t="str">
        <f aca="false">IF(A42="new.cod","NEWCOD",IF(AND((Z42=""),ISTEXT(A42)),A42,IF(Z42="","",INDEX('[1]liste reference'!$A$8:$A$904,Z42))))</f>
        <v/>
      </c>
      <c r="Z42" s="9" t="str">
        <f aca="false">IF(ISERROR(MATCH(A42,'[1]liste reference'!$A$8:$A$904,0)),IF(ISERROR(MATCH(A42,'[1]liste reference'!$B$8:$B$904,0)),"",(MATCH(A42,'[1]liste reference'!$B$8:$B$904,0))),(MATCH(A42,'[1]liste reference'!$A$8:$A$904,0)))</f>
        <v/>
      </c>
      <c r="AA42" s="218"/>
      <c r="AB42" s="219"/>
      <c r="AC42" s="219"/>
      <c r="BB42" s="9" t="str">
        <f aca="false">IF(A42="","",1)</f>
        <v/>
      </c>
    </row>
    <row r="43" customFormat="false" ht="12.75" hidden="false" customHeight="false" outlineLevel="0" collapsed="false">
      <c r="A43" s="220"/>
      <c r="B43" s="221"/>
      <c r="C43" s="222"/>
      <c r="D43" s="205" t="str">
        <f aca="false">IF(ISERROR(VLOOKUP($A43,'[1]liste reference'!$A$7:$D$904,2,0)),IF(ISERROR(VLOOKUP($A43,'[1]liste reference'!$B$7:$D$904,1,0)),"",VLOOKUP($A43,'[1]liste reference'!$B$7:$D$904,1,0)),VLOOKUP($A43,'[1]liste reference'!$A$7:$D$904,2,0))</f>
        <v/>
      </c>
      <c r="E43" s="223" t="n">
        <f aca="false">IF(D43="",0,VLOOKUP(D43,D$22:D42,1,0))</f>
        <v>0</v>
      </c>
      <c r="F43" s="228" t="n">
        <f aca="false">($B43*$B$7+$C43*$C$7)/100</f>
        <v>0</v>
      </c>
      <c r="G43" s="207" t="str">
        <f aca="false">IF(A43="","",IF(ISERROR(VLOOKUP($A43,'[1]liste reference'!$A$7:$P$904,13,0)),IF(ISERROR(VLOOKUP($A43,'[1]liste reference'!$B$7:$P$904,12,0)),"    -",VLOOKUP($A43,'[1]liste reference'!$B$7:$P$904,12,0)),VLOOKUP($A43,'[1]liste reference'!$A$7:$P$904,13,0)))</f>
        <v/>
      </c>
      <c r="H43" s="208" t="str">
        <f aca="false">IF(A43="","x",IF(ISERROR(VLOOKUP($A43,'[1]liste reference'!$A$8:$P$904,14,0)),IF(ISERROR(VLOOKUP($A43,'[1]liste reference'!$B$8:$P$904,13,0)),"x",VLOOKUP($A43,'[1]liste reference'!$B$8:$P$904,13,0)),VLOOKUP($A43,'[1]liste reference'!$A$8:$P$904,14,0)))</f>
        <v>x</v>
      </c>
      <c r="I43" s="209" t="str">
        <f aca="false">IF(ISNUMBER(H43),IF(ISERROR(VLOOKUP($A43,'[1]liste reference'!$A$7:$P$904,3,0)),IF(ISERROR(VLOOKUP($A43,'[1]liste reference'!$B$7:$P$904,2,0)),"",VLOOKUP($A43,'[1]liste reference'!$B$7:$P$904,2,0)),VLOOKUP($A43,'[1]liste reference'!$A$7:$P$904,3,0)),"")</f>
        <v/>
      </c>
      <c r="J43" s="209" t="str">
        <f aca="false">IF(ISNUMBER(H43),IF(ISERROR(VLOOKUP($A43,'[1]liste reference'!$A$7:$P$904,4,0)),IF(ISERROR(VLOOKUP($A43,'[1]liste reference'!$B$7:$P$904,3,0)),"",VLOOKUP($A43,'[1]liste reference'!$B$7:$P$904,3,0)),VLOOKUP($A43,'[1]liste reference'!$A$7:$P$904,4,0)),"")</f>
        <v/>
      </c>
      <c r="K43" s="210" t="str">
        <f aca="false">IF(A43="NEWCOD",IF(AB43="","Remplir le champs 'Nouveau taxa' svp.",$AB43),IF(ISTEXT($E43),"DEJA SAISI !",IF(A43="","",IF(ISERROR(VLOOKUP($A43,'[1]liste reference'!$A$7:$D$904,2,0)),IF(ISERROR(VLOOKUP($A43,'[1]liste reference'!$B$7:$D$904,1,0)),"code non répertorié ou synonyme",VLOOKUP($A43,'[1]liste reference'!$B$7:$D$904,1,0)),VLOOKUP(A43,'[1]liste reference'!$A$7:$D$904,2,0)))))</f>
        <v/>
      </c>
      <c r="L43" s="225"/>
      <c r="M43" s="225"/>
      <c r="N43" s="225"/>
      <c r="O43" s="212"/>
      <c r="P43" s="213" t="str">
        <f aca="false">IF($A43="NEWCOD",IF($AC43="","No",$AC43),IF(ISTEXT($E43),"DEJA SAISI !",IF($A43="","",IF(ISERROR(VLOOKUP($A43,'[1]liste reference'!A$1:S$1048576,19,FALSE())),IF(ISERROR(VLOOKUP($A43,'[1]liste reference'!B$1:S$1048576,19,FALSE())),"",VLOOKUP($A43,'[1]liste reference'!B$1:S$1048576,19,FALSE())),VLOOKUP($A43,'[1]liste reference'!A$1:S$1048576,19,FALSE())))))</f>
        <v/>
      </c>
      <c r="Q43" s="214" t="str">
        <f aca="false">IF(ISTEXT(H43),"",(B43*$B$7/100)+(C43*$C$7/100))</f>
        <v/>
      </c>
      <c r="R43" s="215" t="str">
        <f aca="false">IF(OR(ISTEXT(H43),Q43=0),"",IF(Q43&lt;0.1,1,IF(Q43&lt;1,2,IF(Q43&lt;10,3,IF(Q43&lt;50,4,IF(Q43&gt;=50,5,""))))))</f>
        <v/>
      </c>
      <c r="S43" s="215" t="n">
        <f aca="false">IF(ISERROR(R43*I43),0,R43*I43)</f>
        <v>0</v>
      </c>
      <c r="T43" s="215" t="n">
        <f aca="false">IF(ISERROR(R43*I43*J43),0,R43*I43*J43)</f>
        <v>0</v>
      </c>
      <c r="U43" s="226" t="n">
        <f aca="false">IF(ISERROR(R43*J43),0,R43*J43)</f>
        <v>0</v>
      </c>
      <c r="V43" s="216" t="str">
        <f aca="false">IF(AND(A43="",F43=0),"",IF(F43=0,"Il manque le(s) % de rec. !",""))</f>
        <v/>
      </c>
      <c r="W43" s="217"/>
      <c r="Y43" s="215" t="str">
        <f aca="false">IF(A43="new.cod","NEWCOD",IF(AND((Z43=""),ISTEXT(A43)),A43,IF(Z43="","",INDEX('[1]liste reference'!$A$8:$A$904,Z43))))</f>
        <v/>
      </c>
      <c r="Z43" s="9" t="str">
        <f aca="false">IF(ISERROR(MATCH(A43,'[1]liste reference'!$A$8:$A$904,0)),IF(ISERROR(MATCH(A43,'[1]liste reference'!$B$8:$B$904,0)),"",(MATCH(A43,'[1]liste reference'!$B$8:$B$904,0))),(MATCH(A43,'[1]liste reference'!$A$8:$A$904,0)))</f>
        <v/>
      </c>
      <c r="AA43" s="218"/>
      <c r="AB43" s="219"/>
      <c r="AC43" s="219"/>
      <c r="BB43" s="9" t="str">
        <f aca="false">IF(A43="","",1)</f>
        <v/>
      </c>
    </row>
    <row r="44" customFormat="false" ht="12.75" hidden="false" customHeight="false" outlineLevel="0" collapsed="false">
      <c r="A44" s="220"/>
      <c r="B44" s="221"/>
      <c r="C44" s="222"/>
      <c r="D44" s="205" t="str">
        <f aca="false">IF(ISERROR(VLOOKUP($A44,'[1]liste reference'!$A$7:$D$904,2,0)),IF(ISERROR(VLOOKUP($A44,'[1]liste reference'!$B$7:$D$904,1,0)),"",VLOOKUP($A44,'[1]liste reference'!$B$7:$D$904,1,0)),VLOOKUP($A44,'[1]liste reference'!$A$7:$D$904,2,0))</f>
        <v/>
      </c>
      <c r="E44" s="223" t="n">
        <f aca="false">IF(D44="",0,VLOOKUP(D44,D$22:D43,1,0))</f>
        <v>0</v>
      </c>
      <c r="F44" s="228" t="n">
        <f aca="false">($B44*$B$7+$C44*$C$7)/100</f>
        <v>0</v>
      </c>
      <c r="G44" s="207" t="str">
        <f aca="false">IF(A44="","",IF(ISERROR(VLOOKUP($A44,'[1]liste reference'!$A$7:$P$904,13,0)),IF(ISERROR(VLOOKUP($A44,'[1]liste reference'!$B$7:$P$904,12,0)),"    -",VLOOKUP($A44,'[1]liste reference'!$B$7:$P$904,12,0)),VLOOKUP($A44,'[1]liste reference'!$A$7:$P$904,13,0)))</f>
        <v/>
      </c>
      <c r="H44" s="208" t="str">
        <f aca="false">IF(A44="","x",IF(ISERROR(VLOOKUP($A44,'[1]liste reference'!$A$8:$P$904,14,0)),IF(ISERROR(VLOOKUP($A44,'[1]liste reference'!$B$8:$P$904,13,0)),"x",VLOOKUP($A44,'[1]liste reference'!$B$8:$P$904,13,0)),VLOOKUP($A44,'[1]liste reference'!$A$8:$P$904,14,0)))</f>
        <v>x</v>
      </c>
      <c r="I44" s="209" t="str">
        <f aca="false">IF(ISNUMBER(H44),IF(ISERROR(VLOOKUP($A44,'[1]liste reference'!$A$7:$P$904,3,0)),IF(ISERROR(VLOOKUP($A44,'[1]liste reference'!$B$7:$P$904,2,0)),"",VLOOKUP($A44,'[1]liste reference'!$B$7:$P$904,2,0)),VLOOKUP($A44,'[1]liste reference'!$A$7:$P$904,3,0)),"")</f>
        <v/>
      </c>
      <c r="J44" s="209" t="str">
        <f aca="false">IF(ISNUMBER(H44),IF(ISERROR(VLOOKUP($A44,'[1]liste reference'!$A$7:$P$904,4,0)),IF(ISERROR(VLOOKUP($A44,'[1]liste reference'!$B$7:$P$904,3,0)),"",VLOOKUP($A44,'[1]liste reference'!$B$7:$P$904,3,0)),VLOOKUP($A44,'[1]liste reference'!$A$7:$P$904,4,0)),"")</f>
        <v/>
      </c>
      <c r="K44" s="210" t="str">
        <f aca="false">IF(A44="NEWCOD",IF(AB44="","Remplir le champs 'Nouveau taxa' svp.",$AB44),IF(ISTEXT($E44),"DEJA SAISI !",IF(A44="","",IF(ISERROR(VLOOKUP($A44,'[1]liste reference'!$A$7:$D$904,2,0)),IF(ISERROR(VLOOKUP($A44,'[1]liste reference'!$B$7:$D$904,1,0)),"code non répertorié ou synonyme",VLOOKUP($A44,'[1]liste reference'!$B$7:$D$904,1,0)),VLOOKUP(A44,'[1]liste reference'!$A$7:$D$904,2,0)))))</f>
        <v/>
      </c>
      <c r="L44" s="225"/>
      <c r="M44" s="225"/>
      <c r="N44" s="225"/>
      <c r="O44" s="212"/>
      <c r="P44" s="213" t="str">
        <f aca="false">IF($A44="NEWCOD",IF($AC44="","No",$AC44),IF(ISTEXT($E44),"DEJA SAISI !",IF($A44="","",IF(ISERROR(VLOOKUP($A44,'[1]liste reference'!A$1:S$1048576,19,FALSE())),IF(ISERROR(VLOOKUP($A44,'[1]liste reference'!B$1:S$1048576,19,FALSE())),"",VLOOKUP($A44,'[1]liste reference'!B$1:S$1048576,19,FALSE())),VLOOKUP($A44,'[1]liste reference'!A$1:S$1048576,19,FALSE())))))</f>
        <v/>
      </c>
      <c r="Q44" s="214" t="str">
        <f aca="false">IF(ISTEXT(H44),"",(B44*$B$7/100)+(C44*$C$7/100))</f>
        <v/>
      </c>
      <c r="R44" s="215" t="str">
        <f aca="false">IF(OR(ISTEXT(H44),Q44=0),"",IF(Q44&lt;0.1,1,IF(Q44&lt;1,2,IF(Q44&lt;10,3,IF(Q44&lt;50,4,IF(Q44&gt;=50,5,""))))))</f>
        <v/>
      </c>
      <c r="S44" s="215" t="n">
        <f aca="false">IF(ISERROR(R44*I44),0,R44*I44)</f>
        <v>0</v>
      </c>
      <c r="T44" s="215" t="n">
        <f aca="false">IF(ISERROR(R44*I44*J44),0,R44*I44*J44)</f>
        <v>0</v>
      </c>
      <c r="U44" s="226" t="n">
        <f aca="false">IF(ISERROR(R44*J44),0,R44*J44)</f>
        <v>0</v>
      </c>
      <c r="V44" s="216" t="str">
        <f aca="false">IF(AND(A44="",F44=0),"",IF(F44=0,"Il manque le(s) % de rec. !",""))</f>
        <v/>
      </c>
      <c r="W44" s="217"/>
      <c r="Y44" s="215" t="str">
        <f aca="false">IF(A44="new.cod","NEWCOD",IF(AND((Z44=""),ISTEXT(A44)),A44,IF(Z44="","",INDEX('[1]liste reference'!$A$8:$A$904,Z44))))</f>
        <v/>
      </c>
      <c r="Z44" s="9" t="str">
        <f aca="false">IF(ISERROR(MATCH(A44,'[1]liste reference'!$A$8:$A$904,0)),IF(ISERROR(MATCH(A44,'[1]liste reference'!$B$8:$B$904,0)),"",(MATCH(A44,'[1]liste reference'!$B$8:$B$904,0))),(MATCH(A44,'[1]liste reference'!$A$8:$A$904,0)))</f>
        <v/>
      </c>
      <c r="AA44" s="218"/>
      <c r="AB44" s="219"/>
      <c r="AC44" s="219"/>
      <c r="BB44" s="9" t="str">
        <f aca="false">IF(A44="","",1)</f>
        <v/>
      </c>
    </row>
    <row r="45" customFormat="false" ht="12.75" hidden="false" customHeight="false" outlineLevel="0" collapsed="false">
      <c r="A45" s="220"/>
      <c r="B45" s="221"/>
      <c r="C45" s="222"/>
      <c r="D45" s="205" t="str">
        <f aca="false">IF(ISERROR(VLOOKUP($A45,'[1]liste reference'!$A$7:$D$904,2,0)),IF(ISERROR(VLOOKUP($A45,'[1]liste reference'!$B$7:$D$904,1,0)),"",VLOOKUP($A45,'[1]liste reference'!$B$7:$D$904,1,0)),VLOOKUP($A45,'[1]liste reference'!$A$7:$D$904,2,0))</f>
        <v/>
      </c>
      <c r="E45" s="223" t="n">
        <f aca="false">IF(D45="",0,VLOOKUP(D45,D$22:D44,1,0))</f>
        <v>0</v>
      </c>
      <c r="F45" s="228" t="n">
        <f aca="false">($B45*$B$7+$C45*$C$7)/100</f>
        <v>0</v>
      </c>
      <c r="G45" s="207" t="str">
        <f aca="false">IF(A45="","",IF(ISERROR(VLOOKUP($A45,'[1]liste reference'!$A$7:$P$904,13,0)),IF(ISERROR(VLOOKUP($A45,'[1]liste reference'!$B$7:$P$904,12,0)),"    -",VLOOKUP($A45,'[1]liste reference'!$B$7:$P$904,12,0)),VLOOKUP($A45,'[1]liste reference'!$A$7:$P$904,13,0)))</f>
        <v/>
      </c>
      <c r="H45" s="208" t="str">
        <f aca="false">IF(A45="","x",IF(ISERROR(VLOOKUP($A45,'[1]liste reference'!$A$8:$P$904,14,0)),IF(ISERROR(VLOOKUP($A45,'[1]liste reference'!$B$8:$P$904,13,0)),"x",VLOOKUP($A45,'[1]liste reference'!$B$8:$P$904,13,0)),VLOOKUP($A45,'[1]liste reference'!$A$8:$P$904,14,0)))</f>
        <v>x</v>
      </c>
      <c r="I45" s="209" t="str">
        <f aca="false">IF(ISNUMBER(H45),IF(ISERROR(VLOOKUP($A45,'[1]liste reference'!$A$7:$P$904,3,0)),IF(ISERROR(VLOOKUP($A45,'[1]liste reference'!$B$7:$P$904,2,0)),"",VLOOKUP($A45,'[1]liste reference'!$B$7:$P$904,2,0)),VLOOKUP($A45,'[1]liste reference'!$A$7:$P$904,3,0)),"")</f>
        <v/>
      </c>
      <c r="J45" s="209" t="str">
        <f aca="false">IF(ISNUMBER(H45),IF(ISERROR(VLOOKUP($A45,'[1]liste reference'!$A$7:$P$904,4,0)),IF(ISERROR(VLOOKUP($A45,'[1]liste reference'!$B$7:$P$904,3,0)),"",VLOOKUP($A45,'[1]liste reference'!$B$7:$P$904,3,0)),VLOOKUP($A45,'[1]liste reference'!$A$7:$P$904,4,0)),"")</f>
        <v/>
      </c>
      <c r="K45" s="210" t="str">
        <f aca="false">IF(A45="NEWCOD",IF(AB45="","Remplir le champs 'Nouveau taxa' svp.",$AB45),IF(ISTEXT($E45),"DEJA SAISI !",IF(A45="","",IF(ISERROR(VLOOKUP($A45,'[1]liste reference'!$A$7:$D$904,2,0)),IF(ISERROR(VLOOKUP($A45,'[1]liste reference'!$B$7:$D$904,1,0)),"code non répertorié ou synonyme",VLOOKUP($A45,'[1]liste reference'!$B$7:$D$904,1,0)),VLOOKUP(A45,'[1]liste reference'!$A$7:$D$904,2,0)))))</f>
        <v/>
      </c>
      <c r="L45" s="225"/>
      <c r="M45" s="225"/>
      <c r="N45" s="225"/>
      <c r="O45" s="212"/>
      <c r="P45" s="213" t="str">
        <f aca="false">IF($A45="NEWCOD",IF($AC45="","No",$AC45),IF(ISTEXT($E45),"DEJA SAISI !",IF($A45="","",IF(ISERROR(VLOOKUP($A45,'[1]liste reference'!A$1:S$1048576,19,FALSE())),IF(ISERROR(VLOOKUP($A45,'[1]liste reference'!B$1:S$1048576,19,FALSE())),"",VLOOKUP($A45,'[1]liste reference'!B$1:S$1048576,19,FALSE())),VLOOKUP($A45,'[1]liste reference'!A$1:S$1048576,19,FALSE())))))</f>
        <v/>
      </c>
      <c r="Q45" s="214" t="str">
        <f aca="false">IF(ISTEXT(H45),"",(B45*$B$7/100)+(C45*$C$7/100))</f>
        <v/>
      </c>
      <c r="R45" s="215" t="str">
        <f aca="false">IF(OR(ISTEXT(H45),Q45=0),"",IF(Q45&lt;0.1,1,IF(Q45&lt;1,2,IF(Q45&lt;10,3,IF(Q45&lt;50,4,IF(Q45&gt;=50,5,""))))))</f>
        <v/>
      </c>
      <c r="S45" s="215" t="n">
        <f aca="false">IF(ISERROR(R45*I45),0,R45*I45)</f>
        <v>0</v>
      </c>
      <c r="T45" s="215" t="n">
        <f aca="false">IF(ISERROR(R45*I45*J45),0,R45*I45*J45)</f>
        <v>0</v>
      </c>
      <c r="U45" s="226" t="n">
        <f aca="false">IF(ISERROR(R45*J45),0,R45*J45)</f>
        <v>0</v>
      </c>
      <c r="V45" s="216" t="str">
        <f aca="false">IF(AND(A45="",F45=0),"",IF(F45=0,"Il manque le(s) % de rec. !",""))</f>
        <v/>
      </c>
      <c r="W45" s="217"/>
      <c r="Y45" s="215" t="str">
        <f aca="false">IF(A45="new.cod","NEWCOD",IF(AND((Z45=""),ISTEXT(A45)),A45,IF(Z45="","",INDEX('[1]liste reference'!$A$8:$A$904,Z45))))</f>
        <v/>
      </c>
      <c r="Z45" s="9" t="str">
        <f aca="false">IF(ISERROR(MATCH(A45,'[1]liste reference'!$A$8:$A$904,0)),IF(ISERROR(MATCH(A45,'[1]liste reference'!$B$8:$B$904,0)),"",(MATCH(A45,'[1]liste reference'!$B$8:$B$904,0))),(MATCH(A45,'[1]liste reference'!$A$8:$A$904,0)))</f>
        <v/>
      </c>
      <c r="AA45" s="218"/>
      <c r="AB45" s="219"/>
      <c r="AC45" s="219"/>
      <c r="BB45" s="9" t="str">
        <f aca="false">IF(A45="","",1)</f>
        <v/>
      </c>
    </row>
    <row r="46" customFormat="false" ht="12.75" hidden="false" customHeight="false" outlineLevel="0" collapsed="false">
      <c r="A46" s="220"/>
      <c r="B46" s="221"/>
      <c r="C46" s="222"/>
      <c r="D46" s="205" t="str">
        <f aca="false">IF(ISERROR(VLOOKUP($A46,'[1]liste reference'!$A$7:$D$904,2,0)),IF(ISERROR(VLOOKUP($A46,'[1]liste reference'!$B$7:$D$904,1,0)),"",VLOOKUP($A46,'[1]liste reference'!$B$7:$D$904,1,0)),VLOOKUP($A46,'[1]liste reference'!$A$7:$D$904,2,0))</f>
        <v/>
      </c>
      <c r="E46" s="223" t="n">
        <f aca="false">IF(D46="",0,VLOOKUP(D46,D$22:D39,1,0))</f>
        <v>0</v>
      </c>
      <c r="F46" s="228" t="n">
        <f aca="false">($B46*$B$7+$C46*$C$7)/100</f>
        <v>0</v>
      </c>
      <c r="G46" s="207" t="str">
        <f aca="false">IF(A46="","",IF(ISERROR(VLOOKUP($A46,'[1]liste reference'!$A$7:$P$904,13,0)),IF(ISERROR(VLOOKUP($A46,'[1]liste reference'!$B$7:$P$904,12,0)),"    -",VLOOKUP($A46,'[1]liste reference'!$B$7:$P$904,12,0)),VLOOKUP($A46,'[1]liste reference'!$A$7:$P$904,13,0)))</f>
        <v/>
      </c>
      <c r="H46" s="208" t="str">
        <f aca="false">IF(A46="","x",IF(ISERROR(VLOOKUP($A46,'[1]liste reference'!$A$8:$P$904,14,0)),IF(ISERROR(VLOOKUP($A46,'[1]liste reference'!$B$8:$P$904,13,0)),"x",VLOOKUP($A46,'[1]liste reference'!$B$8:$P$904,13,0)),VLOOKUP($A46,'[1]liste reference'!$A$8:$P$904,14,0)))</f>
        <v>x</v>
      </c>
      <c r="I46" s="209" t="str">
        <f aca="false">IF(ISNUMBER(H46),IF(ISERROR(VLOOKUP($A46,'[1]liste reference'!$A$7:$P$904,3,0)),IF(ISERROR(VLOOKUP($A46,'[1]liste reference'!$B$7:$P$904,2,0)),"",VLOOKUP($A46,'[1]liste reference'!$B$7:$P$904,2,0)),VLOOKUP($A46,'[1]liste reference'!$A$7:$P$904,3,0)),"")</f>
        <v/>
      </c>
      <c r="J46" s="209" t="str">
        <f aca="false">IF(ISNUMBER(H46),IF(ISERROR(VLOOKUP($A46,'[1]liste reference'!$A$7:$P$904,4,0)),IF(ISERROR(VLOOKUP($A46,'[1]liste reference'!$B$7:$P$904,3,0)),"",VLOOKUP($A46,'[1]liste reference'!$B$7:$P$904,3,0)),VLOOKUP($A46,'[1]liste reference'!$A$7:$P$904,4,0)),"")</f>
        <v/>
      </c>
      <c r="K46" s="210" t="str">
        <f aca="false">IF(A46="NEWCOD",IF(AB46="","Remplir le champs 'Nouveau taxa' svp.",$AB46),IF(ISTEXT($E46),"DEJA SAISI !",IF(A46="","",IF(ISERROR(VLOOKUP($A46,'[1]liste reference'!$A$7:$D$904,2,0)),IF(ISERROR(VLOOKUP($A46,'[1]liste reference'!$B$7:$D$904,1,0)),"code non répertorié ou synonyme",VLOOKUP($A46,'[1]liste reference'!$B$7:$D$904,1,0)),VLOOKUP(A46,'[1]liste reference'!$A$7:$D$904,2,0)))))</f>
        <v/>
      </c>
      <c r="L46" s="225"/>
      <c r="M46" s="225"/>
      <c r="N46" s="225"/>
      <c r="O46" s="212"/>
      <c r="P46" s="213" t="str">
        <f aca="false">IF($A46="NEWCOD",IF($AC46="","No",$AC46),IF(ISTEXT($E46),"DEJA SAISI !",IF($A46="","",IF(ISERROR(VLOOKUP($A46,'[1]liste reference'!A$1:S$1048576,19,FALSE())),IF(ISERROR(VLOOKUP($A46,'[1]liste reference'!B$1:S$1048576,19,FALSE())),"",VLOOKUP($A46,'[1]liste reference'!B$1:S$1048576,19,FALSE())),VLOOKUP($A46,'[1]liste reference'!A$1:S$1048576,19,FALSE())))))</f>
        <v/>
      </c>
      <c r="Q46" s="214" t="str">
        <f aca="false">IF(ISTEXT(H46),"",(B46*$B$7/100)+(C46*$C$7/100))</f>
        <v/>
      </c>
      <c r="R46" s="215" t="str">
        <f aca="false">IF(OR(ISTEXT(H46),Q46=0),"",IF(Q46&lt;0.1,1,IF(Q46&lt;1,2,IF(Q46&lt;10,3,IF(Q46&lt;50,4,IF(Q46&gt;=50,5,""))))))</f>
        <v/>
      </c>
      <c r="S46" s="215" t="n">
        <f aca="false">IF(ISERROR(R46*I46),0,R46*I46)</f>
        <v>0</v>
      </c>
      <c r="T46" s="215" t="n">
        <f aca="false">IF(ISERROR(R46*I46*J46),0,R46*I46*J46)</f>
        <v>0</v>
      </c>
      <c r="U46" s="226" t="n">
        <f aca="false">IF(ISERROR(R46*J46),0,R46*J46)</f>
        <v>0</v>
      </c>
      <c r="V46" s="216" t="str">
        <f aca="false">IF(AND(A46="",F46=0),"",IF(F46=0,"Il manque le(s) % de rec. !",""))</f>
        <v/>
      </c>
      <c r="W46" s="217"/>
      <c r="Y46" s="215" t="str">
        <f aca="false">IF(A46="new.cod","NEWCOD",IF(AND((Z46=""),ISTEXT(A46)),A46,IF(Z46="","",INDEX('[1]liste reference'!$A$8:$A$904,Z46))))</f>
        <v/>
      </c>
      <c r="Z46" s="9" t="str">
        <f aca="false">IF(ISERROR(MATCH(A46,'[1]liste reference'!$A$8:$A$904,0)),IF(ISERROR(MATCH(A46,'[1]liste reference'!$B$8:$B$904,0)),"",(MATCH(A46,'[1]liste reference'!$B$8:$B$904,0))),(MATCH(A46,'[1]liste reference'!$A$8:$A$904,0)))</f>
        <v/>
      </c>
      <c r="AA46" s="218"/>
      <c r="AB46" s="219"/>
      <c r="AC46" s="219"/>
      <c r="BB46" s="9" t="str">
        <f aca="false">IF(A46="","",1)</f>
        <v/>
      </c>
    </row>
    <row r="47" customFormat="false" ht="12.75" hidden="false" customHeight="false" outlineLevel="0" collapsed="false">
      <c r="A47" s="220"/>
      <c r="B47" s="221"/>
      <c r="C47" s="222"/>
      <c r="D47" s="205" t="str">
        <f aca="false">IF(ISERROR(VLOOKUP($A47,'[1]liste reference'!$A$7:$D$904,2,0)),IF(ISERROR(VLOOKUP($A47,'[1]liste reference'!$B$7:$D$904,1,0)),"",VLOOKUP($A47,'[1]liste reference'!$B$7:$D$904,1,0)),VLOOKUP($A47,'[1]liste reference'!$A$7:$D$904,2,0))</f>
        <v/>
      </c>
      <c r="E47" s="223" t="n">
        <f aca="false">IF(D47="",0,VLOOKUP(D47,D$22:D39,1,0))</f>
        <v>0</v>
      </c>
      <c r="F47" s="228" t="n">
        <f aca="false">($B47*$B$7+$C47*$C$7)/100</f>
        <v>0</v>
      </c>
      <c r="G47" s="207" t="str">
        <f aca="false">IF(A47="","",IF(ISERROR(VLOOKUP($A47,'[1]liste reference'!$A$7:$P$904,13,0)),IF(ISERROR(VLOOKUP($A47,'[1]liste reference'!$B$7:$P$904,12,0)),"    -",VLOOKUP($A47,'[1]liste reference'!$B$7:$P$904,12,0)),VLOOKUP($A47,'[1]liste reference'!$A$7:$P$904,13,0)))</f>
        <v/>
      </c>
      <c r="H47" s="208" t="str">
        <f aca="false">IF(A47="","x",IF(ISERROR(VLOOKUP($A47,'[1]liste reference'!$A$8:$P$904,14,0)),IF(ISERROR(VLOOKUP($A47,'[1]liste reference'!$B$8:$P$904,13,0)),"x",VLOOKUP($A47,'[1]liste reference'!$B$8:$P$904,13,0)),VLOOKUP($A47,'[1]liste reference'!$A$8:$P$904,14,0)))</f>
        <v>x</v>
      </c>
      <c r="I47" s="209" t="str">
        <f aca="false">IF(ISNUMBER(H47),IF(ISERROR(VLOOKUP($A47,'[1]liste reference'!$A$7:$P$904,3,0)),IF(ISERROR(VLOOKUP($A47,'[1]liste reference'!$B$7:$P$904,2,0)),"",VLOOKUP($A47,'[1]liste reference'!$B$7:$P$904,2,0)),VLOOKUP($A47,'[1]liste reference'!$A$7:$P$904,3,0)),"")</f>
        <v/>
      </c>
      <c r="J47" s="209" t="str">
        <f aca="false">IF(ISNUMBER(H47),IF(ISERROR(VLOOKUP($A47,'[1]liste reference'!$A$7:$P$904,4,0)),IF(ISERROR(VLOOKUP($A47,'[1]liste reference'!$B$7:$P$904,3,0)),"",VLOOKUP($A47,'[1]liste reference'!$B$7:$P$904,3,0)),VLOOKUP($A47,'[1]liste reference'!$A$7:$P$904,4,0)),"")</f>
        <v/>
      </c>
      <c r="K47" s="210" t="str">
        <f aca="false">IF(A47="NEWCOD",IF(AB47="","Remplir le champs 'Nouveau taxa' svp.",$AB47),IF(ISTEXT($E47),"DEJA SAISI !",IF(A47="","",IF(ISERROR(VLOOKUP($A47,'[1]liste reference'!$A$7:$D$904,2,0)),IF(ISERROR(VLOOKUP($A47,'[1]liste reference'!$B$7:$D$904,1,0)),"code non répertorié ou synonyme",VLOOKUP($A47,'[1]liste reference'!$B$7:$D$904,1,0)),VLOOKUP(A47,'[1]liste reference'!$A$7:$D$904,2,0)))))</f>
        <v/>
      </c>
      <c r="L47" s="225"/>
      <c r="M47" s="225"/>
      <c r="N47" s="225"/>
      <c r="O47" s="212"/>
      <c r="P47" s="213" t="str">
        <f aca="false">IF($A47="NEWCOD",IF($AC47="","No",$AC47),IF(ISTEXT($E47),"DEJA SAISI !",IF($A47="","",IF(ISERROR(VLOOKUP($A47,'[1]liste reference'!A$1:S$1048576,19,FALSE())),IF(ISERROR(VLOOKUP($A47,'[1]liste reference'!B$1:S$1048576,19,FALSE())),"",VLOOKUP($A47,'[1]liste reference'!B$1:S$1048576,19,FALSE())),VLOOKUP($A47,'[1]liste reference'!A$1:S$1048576,19,FALSE())))))</f>
        <v/>
      </c>
      <c r="Q47" s="214" t="str">
        <f aca="false">IF(ISTEXT(H47),"",(B47*$B$7/100)+(C47*$C$7/100))</f>
        <v/>
      </c>
      <c r="R47" s="215" t="str">
        <f aca="false">IF(OR(ISTEXT(H47),Q47=0),"",IF(Q47&lt;0.1,1,IF(Q47&lt;1,2,IF(Q47&lt;10,3,IF(Q47&lt;50,4,IF(Q47&gt;=50,5,""))))))</f>
        <v/>
      </c>
      <c r="S47" s="215" t="n">
        <f aca="false">IF(ISERROR(R47*I47),0,R47*I47)</f>
        <v>0</v>
      </c>
      <c r="T47" s="215" t="n">
        <f aca="false">IF(ISERROR(R47*I47*J47),0,R47*I47*J47)</f>
        <v>0</v>
      </c>
      <c r="U47" s="226" t="n">
        <f aca="false">IF(ISERROR(R47*J47),0,R47*J47)</f>
        <v>0</v>
      </c>
      <c r="V47" s="216" t="str">
        <f aca="false">IF(AND(A47="",F47=0),"",IF(F47=0,"Il manque le(s) % de rec. !",""))</f>
        <v/>
      </c>
      <c r="W47" s="217"/>
      <c r="Y47" s="215" t="str">
        <f aca="false">IF(A47="new.cod","NEWCOD",IF(AND((Z47=""),ISTEXT(A47)),A47,IF(Z47="","",INDEX('[1]liste reference'!$A$8:$A$904,Z47))))</f>
        <v/>
      </c>
      <c r="Z47" s="9" t="str">
        <f aca="false">IF(ISERROR(MATCH(A47,'[1]liste reference'!$A$8:$A$904,0)),IF(ISERROR(MATCH(A47,'[1]liste reference'!$B$8:$B$904,0)),"",(MATCH(A47,'[1]liste reference'!$B$8:$B$904,0))),(MATCH(A47,'[1]liste reference'!$A$8:$A$904,0)))</f>
        <v/>
      </c>
      <c r="AA47" s="218"/>
      <c r="AB47" s="219"/>
      <c r="AC47" s="219"/>
      <c r="BB47" s="9" t="str">
        <f aca="false">IF(A47="","",1)</f>
        <v/>
      </c>
    </row>
    <row r="48" customFormat="false" ht="12.75" hidden="false" customHeight="false" outlineLevel="0" collapsed="false">
      <c r="A48" s="220"/>
      <c r="B48" s="221"/>
      <c r="C48" s="222"/>
      <c r="D48" s="205" t="str">
        <f aca="false">IF(ISERROR(VLOOKUP($A48,'[1]liste reference'!$A$7:$D$904,2,0)),IF(ISERROR(VLOOKUP($A48,'[1]liste reference'!$B$7:$D$904,1,0)),"",VLOOKUP($A48,'[1]liste reference'!$B$7:$D$904,1,0)),VLOOKUP($A48,'[1]liste reference'!$A$7:$D$904,2,0))</f>
        <v/>
      </c>
      <c r="E48" s="223" t="n">
        <f aca="false">IF(D48="",0,VLOOKUP(D48,D$22:D40,1,0))</f>
        <v>0</v>
      </c>
      <c r="F48" s="228" t="n">
        <f aca="false">($B48*$B$7+$C48*$C$7)/100</f>
        <v>0</v>
      </c>
      <c r="G48" s="207" t="str">
        <f aca="false">IF(A48="","",IF(ISERROR(VLOOKUP($A48,'[1]liste reference'!$A$7:$P$904,13,0)),IF(ISERROR(VLOOKUP($A48,'[1]liste reference'!$B$7:$P$904,12,0)),"    -",VLOOKUP($A48,'[1]liste reference'!$B$7:$P$904,12,0)),VLOOKUP($A48,'[1]liste reference'!$A$7:$P$904,13,0)))</f>
        <v/>
      </c>
      <c r="H48" s="208" t="str">
        <f aca="false">IF(A48="","x",IF(ISERROR(VLOOKUP($A48,'[1]liste reference'!$A$8:$P$904,14,0)),IF(ISERROR(VLOOKUP($A48,'[1]liste reference'!$B$8:$P$904,13,0)),"x",VLOOKUP($A48,'[1]liste reference'!$B$8:$P$904,13,0)),VLOOKUP($A48,'[1]liste reference'!$A$8:$P$904,14,0)))</f>
        <v>x</v>
      </c>
      <c r="I48" s="209" t="str">
        <f aca="false">IF(ISNUMBER(H48),IF(ISERROR(VLOOKUP($A48,'[1]liste reference'!$A$7:$P$904,3,0)),IF(ISERROR(VLOOKUP($A48,'[1]liste reference'!$B$7:$P$904,2,0)),"",VLOOKUP($A48,'[1]liste reference'!$B$7:$P$904,2,0)),VLOOKUP($A48,'[1]liste reference'!$A$7:$P$904,3,0)),"")</f>
        <v/>
      </c>
      <c r="J48" s="209" t="str">
        <f aca="false">IF(ISNUMBER(H48),IF(ISERROR(VLOOKUP($A48,'[1]liste reference'!$A$7:$P$904,4,0)),IF(ISERROR(VLOOKUP($A48,'[1]liste reference'!$B$7:$P$904,3,0)),"",VLOOKUP($A48,'[1]liste reference'!$B$7:$P$904,3,0)),VLOOKUP($A48,'[1]liste reference'!$A$7:$P$904,4,0)),"")</f>
        <v/>
      </c>
      <c r="K48" s="210" t="str">
        <f aca="false">IF(A48="NEWCOD",IF(AB48="","Remplir le champs 'Nouveau taxa' svp.",$AB48),IF(ISTEXT($E48),"DEJA SAISI !",IF(A48="","",IF(ISERROR(VLOOKUP($A48,'[1]liste reference'!$A$7:$D$904,2,0)),IF(ISERROR(VLOOKUP($A48,'[1]liste reference'!$B$7:$D$904,1,0)),"code non répertorié ou synonyme",VLOOKUP($A48,'[1]liste reference'!$B$7:$D$904,1,0)),VLOOKUP(A48,'[1]liste reference'!$A$7:$D$904,2,0)))))</f>
        <v/>
      </c>
      <c r="L48" s="225"/>
      <c r="M48" s="225"/>
      <c r="N48" s="225"/>
      <c r="O48" s="212"/>
      <c r="P48" s="213" t="str">
        <f aca="false">IF($A48="NEWCOD",IF($AC48="","No",$AC48),IF(ISTEXT($E48),"DEJA SAISI !",IF($A48="","",IF(ISERROR(VLOOKUP($A48,'[1]liste reference'!A$1:S$1048576,19,FALSE())),IF(ISERROR(VLOOKUP($A48,'[1]liste reference'!B$1:S$1048576,19,FALSE())),"",VLOOKUP($A48,'[1]liste reference'!B$1:S$1048576,19,FALSE())),VLOOKUP($A48,'[1]liste reference'!A$1:S$1048576,19,FALSE())))))</f>
        <v/>
      </c>
      <c r="Q48" s="214" t="str">
        <f aca="false">IF(ISTEXT(H48),"",(B48*$B$7/100)+(C48*$C$7/100))</f>
        <v/>
      </c>
      <c r="R48" s="215" t="str">
        <f aca="false">IF(OR(ISTEXT(H48),Q48=0),"",IF(Q48&lt;0.1,1,IF(Q48&lt;1,2,IF(Q48&lt;10,3,IF(Q48&lt;50,4,IF(Q48&gt;=50,5,""))))))</f>
        <v/>
      </c>
      <c r="S48" s="215" t="n">
        <f aca="false">IF(ISERROR(R48*I48),0,R48*I48)</f>
        <v>0</v>
      </c>
      <c r="T48" s="215" t="n">
        <f aca="false">IF(ISERROR(R48*I48*J48),0,R48*I48*J48)</f>
        <v>0</v>
      </c>
      <c r="U48" s="226" t="n">
        <f aca="false">IF(ISERROR(R48*J48),0,R48*J48)</f>
        <v>0</v>
      </c>
      <c r="V48" s="216" t="str">
        <f aca="false">IF(AND(A48="",F48=0),"",IF(F48=0,"Il manque le(s) % de rec. !",""))</f>
        <v/>
      </c>
      <c r="W48" s="217"/>
      <c r="Y48" s="215" t="str">
        <f aca="false">IF(A48="new.cod","NEWCOD",IF(AND((Z48=""),ISTEXT(A48)),A48,IF(Z48="","",INDEX('[1]liste reference'!$A$8:$A$904,Z48))))</f>
        <v/>
      </c>
      <c r="Z48" s="9" t="str">
        <f aca="false">IF(ISERROR(MATCH(A48,'[1]liste reference'!$A$8:$A$904,0)),IF(ISERROR(MATCH(A48,'[1]liste reference'!$B$8:$B$904,0)),"",(MATCH(A48,'[1]liste reference'!$B$8:$B$904,0))),(MATCH(A48,'[1]liste reference'!$A$8:$A$904,0)))</f>
        <v/>
      </c>
      <c r="AA48" s="218"/>
      <c r="AB48" s="219"/>
      <c r="AC48" s="219"/>
      <c r="BB48" s="9" t="str">
        <f aca="false">IF(A48="","",1)</f>
        <v/>
      </c>
    </row>
    <row r="49" customFormat="false" ht="12.75" hidden="false" customHeight="false" outlineLevel="0" collapsed="false">
      <c r="A49" s="220"/>
      <c r="B49" s="221"/>
      <c r="C49" s="222"/>
      <c r="D49" s="205" t="str">
        <f aca="false">IF(ISERROR(VLOOKUP($A49,'[1]liste reference'!$A$7:$D$904,2,0)),IF(ISERROR(VLOOKUP($A49,'[1]liste reference'!$B$7:$D$904,1,0)),"",VLOOKUP($A49,'[1]liste reference'!$B$7:$D$904,1,0)),VLOOKUP($A49,'[1]liste reference'!$A$7:$D$904,2,0))</f>
        <v/>
      </c>
      <c r="E49" s="223" t="n">
        <f aca="false">IF(D49="",0,VLOOKUP(D49,D$22:D48,1,0))</f>
        <v>0</v>
      </c>
      <c r="F49" s="228" t="n">
        <f aca="false">($B49*$B$7+$C49*$C$7)/100</f>
        <v>0</v>
      </c>
      <c r="G49" s="207" t="str">
        <f aca="false">IF(A49="","",IF(ISERROR(VLOOKUP($A49,'[1]liste reference'!$A$7:$P$904,13,0)),IF(ISERROR(VLOOKUP($A49,'[1]liste reference'!$B$7:$P$904,12,0)),"    -",VLOOKUP($A49,'[1]liste reference'!$B$7:$P$904,12,0)),VLOOKUP($A49,'[1]liste reference'!$A$7:$P$904,13,0)))</f>
        <v/>
      </c>
      <c r="H49" s="208" t="str">
        <f aca="false">IF(A49="","x",IF(ISERROR(VLOOKUP($A49,'[1]liste reference'!$A$8:$P$904,14,0)),IF(ISERROR(VLOOKUP($A49,'[1]liste reference'!$B$8:$P$904,13,0)),"x",VLOOKUP($A49,'[1]liste reference'!$B$8:$P$904,13,0)),VLOOKUP($A49,'[1]liste reference'!$A$8:$P$904,14,0)))</f>
        <v>x</v>
      </c>
      <c r="I49" s="209" t="str">
        <f aca="false">IF(ISNUMBER(H49),IF(ISERROR(VLOOKUP($A49,'[1]liste reference'!$A$7:$P$904,3,0)),IF(ISERROR(VLOOKUP($A49,'[1]liste reference'!$B$7:$P$904,2,0)),"",VLOOKUP($A49,'[1]liste reference'!$B$7:$P$904,2,0)),VLOOKUP($A49,'[1]liste reference'!$A$7:$P$904,3,0)),"")</f>
        <v/>
      </c>
      <c r="J49" s="209" t="str">
        <f aca="false">IF(ISNUMBER(H49),IF(ISERROR(VLOOKUP($A49,'[1]liste reference'!$A$7:$P$904,4,0)),IF(ISERROR(VLOOKUP($A49,'[1]liste reference'!$B$7:$P$904,3,0)),"",VLOOKUP($A49,'[1]liste reference'!$B$7:$P$904,3,0)),VLOOKUP($A49,'[1]liste reference'!$A$7:$P$904,4,0)),"")</f>
        <v/>
      </c>
      <c r="K49" s="210" t="str">
        <f aca="false">IF(A49="NEWCOD",IF(AB49="","Remplir le champs 'Nouveau taxa' svp.",$AB49),IF(ISTEXT($E49),"DEJA SAISI !",IF(A49="","",IF(ISERROR(VLOOKUP($A49,'[1]liste reference'!$A$7:$D$904,2,0)),IF(ISERROR(VLOOKUP($A49,'[1]liste reference'!$B$7:$D$904,1,0)),"code non répertorié ou synonyme",VLOOKUP($A49,'[1]liste reference'!$B$7:$D$904,1,0)),VLOOKUP(A49,'[1]liste reference'!$A$7:$D$904,2,0)))))</f>
        <v/>
      </c>
      <c r="L49" s="225"/>
      <c r="M49" s="225"/>
      <c r="N49" s="225"/>
      <c r="O49" s="212"/>
      <c r="P49" s="213" t="str">
        <f aca="false">IF($A49="NEWCOD",IF($AC49="","No",$AC49),IF(ISTEXT($E49),"DEJA SAISI !",IF($A49="","",IF(ISERROR(VLOOKUP($A49,'[1]liste reference'!A$1:S$1048576,19,FALSE())),IF(ISERROR(VLOOKUP($A49,'[1]liste reference'!B$1:S$1048576,19,FALSE())),"",VLOOKUP($A49,'[1]liste reference'!B$1:S$1048576,19,FALSE())),VLOOKUP($A49,'[1]liste reference'!A$1:S$1048576,19,FALSE())))))</f>
        <v/>
      </c>
      <c r="Q49" s="214" t="str">
        <f aca="false">IF(ISTEXT(H49),"",(B49*$B$7/100)+(C49*$C$7/100))</f>
        <v/>
      </c>
      <c r="R49" s="215" t="str">
        <f aca="false">IF(OR(ISTEXT(H49),Q49=0),"",IF(Q49&lt;0.1,1,IF(Q49&lt;1,2,IF(Q49&lt;10,3,IF(Q49&lt;50,4,IF(Q49&gt;=50,5,""))))))</f>
        <v/>
      </c>
      <c r="S49" s="215" t="n">
        <f aca="false">IF(ISERROR(R49*I49),0,R49*I49)</f>
        <v>0</v>
      </c>
      <c r="T49" s="215" t="n">
        <f aca="false">IF(ISERROR(R49*I49*J49),0,R49*I49*J49)</f>
        <v>0</v>
      </c>
      <c r="U49" s="226" t="n">
        <f aca="false">IF(ISERROR(R49*J49),0,R49*J49)</f>
        <v>0</v>
      </c>
      <c r="V49" s="216" t="str">
        <f aca="false">IF(AND(A49="",F49=0),"",IF(F49=0,"Il manque le(s) % de rec. !",""))</f>
        <v/>
      </c>
      <c r="W49" s="217"/>
      <c r="Y49" s="215" t="str">
        <f aca="false">IF(A49="new.cod","NEWCOD",IF(AND((Z49=""),ISTEXT(A49)),A49,IF(Z49="","",INDEX('[1]liste reference'!$A$8:$A$904,Z49))))</f>
        <v/>
      </c>
      <c r="Z49" s="9" t="str">
        <f aca="false">IF(ISERROR(MATCH(A49,'[1]liste reference'!$A$8:$A$904,0)),IF(ISERROR(MATCH(A49,'[1]liste reference'!$B$8:$B$904,0)),"",(MATCH(A49,'[1]liste reference'!$B$8:$B$904,0))),(MATCH(A49,'[1]liste reference'!$A$8:$A$904,0)))</f>
        <v/>
      </c>
      <c r="AA49" s="218"/>
      <c r="AB49" s="219"/>
      <c r="AC49" s="219"/>
      <c r="BB49" s="9" t="str">
        <f aca="false">IF(A49="","",1)</f>
        <v/>
      </c>
    </row>
    <row r="50" customFormat="false" ht="12.75" hidden="false" customHeight="false" outlineLevel="0" collapsed="false">
      <c r="A50" s="220"/>
      <c r="B50" s="221"/>
      <c r="C50" s="222"/>
      <c r="D50" s="205" t="str">
        <f aca="false">IF(ISERROR(VLOOKUP($A50,'[1]liste reference'!$A$7:$D$904,2,0)),IF(ISERROR(VLOOKUP($A50,'[1]liste reference'!$B$7:$D$904,1,0)),"",VLOOKUP($A50,'[1]liste reference'!$B$7:$D$904,1,0)),VLOOKUP($A50,'[1]liste reference'!$A$7:$D$904,2,0))</f>
        <v/>
      </c>
      <c r="E50" s="223" t="n">
        <f aca="false">IF(D50="",0,VLOOKUP(D50,D$22:D49,1,0))</f>
        <v>0</v>
      </c>
      <c r="F50" s="228" t="n">
        <f aca="false">($B50*$B$7+$C50*$C$7)/100</f>
        <v>0</v>
      </c>
      <c r="G50" s="207" t="str">
        <f aca="false">IF(A50="","",IF(ISERROR(VLOOKUP($A50,'[1]liste reference'!$A$7:$P$904,13,0)),IF(ISERROR(VLOOKUP($A50,'[1]liste reference'!$B$7:$P$904,12,0)),"    -",VLOOKUP($A50,'[1]liste reference'!$B$7:$P$904,12,0)),VLOOKUP($A50,'[1]liste reference'!$A$7:$P$904,13,0)))</f>
        <v/>
      </c>
      <c r="H50" s="208" t="str">
        <f aca="false">IF(A50="","x",IF(ISERROR(VLOOKUP($A50,'[1]liste reference'!$A$8:$P$904,14,0)),IF(ISERROR(VLOOKUP($A50,'[1]liste reference'!$B$8:$P$904,13,0)),"x",VLOOKUP($A50,'[1]liste reference'!$B$8:$P$904,13,0)),VLOOKUP($A50,'[1]liste reference'!$A$8:$P$904,14,0)))</f>
        <v>x</v>
      </c>
      <c r="I50" s="209" t="str">
        <f aca="false">IF(ISNUMBER(H50),IF(ISERROR(VLOOKUP($A50,'[1]liste reference'!$A$7:$P$904,3,0)),IF(ISERROR(VLOOKUP($A50,'[1]liste reference'!$B$7:$P$904,2,0)),"",VLOOKUP($A50,'[1]liste reference'!$B$7:$P$904,2,0)),VLOOKUP($A50,'[1]liste reference'!$A$7:$P$904,3,0)),"")</f>
        <v/>
      </c>
      <c r="J50" s="209" t="str">
        <f aca="false">IF(ISNUMBER(H50),IF(ISERROR(VLOOKUP($A50,'[1]liste reference'!$A$7:$P$904,4,0)),IF(ISERROR(VLOOKUP($A50,'[1]liste reference'!$B$7:$P$904,3,0)),"",VLOOKUP($A50,'[1]liste reference'!$B$7:$P$904,3,0)),VLOOKUP($A50,'[1]liste reference'!$A$7:$P$904,4,0)),"")</f>
        <v/>
      </c>
      <c r="K50" s="210" t="str">
        <f aca="false">IF(A50="NEWCOD",IF(AB50="","Remplir le champs 'Nouveau taxa' svp.",$AB50),IF(ISTEXT($E50),"DEJA SAISI !",IF(A50="","",IF(ISERROR(VLOOKUP($A50,'[1]liste reference'!$A$7:$D$904,2,0)),IF(ISERROR(VLOOKUP($A50,'[1]liste reference'!$B$7:$D$904,1,0)),"code non répertorié ou synonyme",VLOOKUP($A50,'[1]liste reference'!$B$7:$D$904,1,0)),VLOOKUP(A50,'[1]liste reference'!$A$7:$D$904,2,0)))))</f>
        <v/>
      </c>
      <c r="L50" s="225"/>
      <c r="M50" s="225"/>
      <c r="N50" s="225"/>
      <c r="O50" s="212"/>
      <c r="P50" s="213" t="str">
        <f aca="false">IF($A50="NEWCOD",IF($AC50="","No",$AC50),IF(ISTEXT($E50),"DEJA SAISI !",IF($A50="","",IF(ISERROR(VLOOKUP($A50,'[1]liste reference'!A$1:S$1048576,19,FALSE())),IF(ISERROR(VLOOKUP($A50,'[1]liste reference'!B$1:S$1048576,19,FALSE())),"",VLOOKUP($A50,'[1]liste reference'!B$1:S$1048576,19,FALSE())),VLOOKUP($A50,'[1]liste reference'!A$1:S$1048576,19,FALSE())))))</f>
        <v/>
      </c>
      <c r="Q50" s="214" t="str">
        <f aca="false">IF(ISTEXT(H50),"",(B50*$B$7/100)+(C50*$C$7/100))</f>
        <v/>
      </c>
      <c r="R50" s="215" t="str">
        <f aca="false">IF(OR(ISTEXT(H50),Q50=0),"",IF(Q50&lt;0.1,1,IF(Q50&lt;1,2,IF(Q50&lt;10,3,IF(Q50&lt;50,4,IF(Q50&gt;=50,5,""))))))</f>
        <v/>
      </c>
      <c r="S50" s="215" t="n">
        <f aca="false">IF(ISERROR(R50*I50),0,R50*I50)</f>
        <v>0</v>
      </c>
      <c r="T50" s="215" t="n">
        <f aca="false">IF(ISERROR(R50*I50*J50),0,R50*I50*J50)</f>
        <v>0</v>
      </c>
      <c r="U50" s="226" t="n">
        <f aca="false">IF(ISERROR(R50*J50),0,R50*J50)</f>
        <v>0</v>
      </c>
      <c r="V50" s="216" t="str">
        <f aca="false">IF(AND(A50="",F50=0),"",IF(F50=0,"Il manque le(s) % de rec. !",""))</f>
        <v/>
      </c>
      <c r="W50" s="217"/>
      <c r="Y50" s="215" t="str">
        <f aca="false">IF(A50="new.cod","NEWCOD",IF(AND((Z50=""),ISTEXT(A50)),A50,IF(Z50="","",INDEX('[1]liste reference'!$A$8:$A$904,Z50))))</f>
        <v/>
      </c>
      <c r="Z50" s="9" t="str">
        <f aca="false">IF(ISERROR(MATCH(A50,'[1]liste reference'!$A$8:$A$904,0)),IF(ISERROR(MATCH(A50,'[1]liste reference'!$B$8:$B$904,0)),"",(MATCH(A50,'[1]liste reference'!$B$8:$B$904,0))),(MATCH(A50,'[1]liste reference'!$A$8:$A$904,0)))</f>
        <v/>
      </c>
      <c r="AA50" s="218"/>
      <c r="AB50" s="219"/>
      <c r="AC50" s="219"/>
      <c r="BB50" s="9" t="str">
        <f aca="false">IF(A50="","",1)</f>
        <v/>
      </c>
    </row>
    <row r="51" customFormat="false" ht="12.75" hidden="false" customHeight="false" outlineLevel="0" collapsed="false">
      <c r="A51" s="220"/>
      <c r="B51" s="221"/>
      <c r="C51" s="222"/>
      <c r="D51" s="205" t="str">
        <f aca="false">IF(ISERROR(VLOOKUP($A51,'[1]liste reference'!$A$7:$D$904,2,0)),IF(ISERROR(VLOOKUP($A51,'[1]liste reference'!$B$7:$D$904,1,0)),"",VLOOKUP($A51,'[1]liste reference'!$B$7:$D$904,1,0)),VLOOKUP($A51,'[1]liste reference'!$A$7:$D$904,2,0))</f>
        <v/>
      </c>
      <c r="E51" s="223" t="n">
        <f aca="false">IF(D51="",0,VLOOKUP(D51,D$22:D50,1,0))</f>
        <v>0</v>
      </c>
      <c r="F51" s="228" t="n">
        <f aca="false">($B51*$B$7+$C51*$C$7)/100</f>
        <v>0</v>
      </c>
      <c r="G51" s="207" t="str">
        <f aca="false">IF(A51="","",IF(ISERROR(VLOOKUP($A51,'[1]liste reference'!$A$7:$P$904,13,0)),IF(ISERROR(VLOOKUP($A51,'[1]liste reference'!$B$7:$P$904,12,0)),"    -",VLOOKUP($A51,'[1]liste reference'!$B$7:$P$904,12,0)),VLOOKUP($A51,'[1]liste reference'!$A$7:$P$904,13,0)))</f>
        <v/>
      </c>
      <c r="H51" s="208" t="str">
        <f aca="false">IF(A51="","x",IF(ISERROR(VLOOKUP($A51,'[1]liste reference'!$A$8:$P$904,14,0)),IF(ISERROR(VLOOKUP($A51,'[1]liste reference'!$B$8:$P$904,13,0)),"x",VLOOKUP($A51,'[1]liste reference'!$B$8:$P$904,13,0)),VLOOKUP($A51,'[1]liste reference'!$A$8:$P$904,14,0)))</f>
        <v>x</v>
      </c>
      <c r="I51" s="209" t="str">
        <f aca="false">IF(ISNUMBER(H51),IF(ISERROR(VLOOKUP($A51,'[1]liste reference'!$A$7:$P$904,3,0)),IF(ISERROR(VLOOKUP($A51,'[1]liste reference'!$B$7:$P$904,2,0)),"",VLOOKUP($A51,'[1]liste reference'!$B$7:$P$904,2,0)),VLOOKUP($A51,'[1]liste reference'!$A$7:$P$904,3,0)),"")</f>
        <v/>
      </c>
      <c r="J51" s="209" t="str">
        <f aca="false">IF(ISNUMBER(H51),IF(ISERROR(VLOOKUP($A51,'[1]liste reference'!$A$7:$P$904,4,0)),IF(ISERROR(VLOOKUP($A51,'[1]liste reference'!$B$7:$P$904,3,0)),"",VLOOKUP($A51,'[1]liste reference'!$B$7:$P$904,3,0)),VLOOKUP($A51,'[1]liste reference'!$A$7:$P$904,4,0)),"")</f>
        <v/>
      </c>
      <c r="K51" s="210" t="str">
        <f aca="false">IF(A51="NEWCOD",IF(AB51="","Remplir le champs 'Nouveau taxa' svp.",$AB51),IF(ISTEXT($E51),"DEJA SAISI !",IF(A51="","",IF(ISERROR(VLOOKUP($A51,'[1]liste reference'!$A$7:$D$904,2,0)),IF(ISERROR(VLOOKUP($A51,'[1]liste reference'!$B$7:$D$904,1,0)),"code non répertorié ou synonyme",VLOOKUP($A51,'[1]liste reference'!$B$7:$D$904,1,0)),VLOOKUP(A51,'[1]liste reference'!$A$7:$D$904,2,0)))))</f>
        <v/>
      </c>
      <c r="L51" s="225"/>
      <c r="M51" s="225"/>
      <c r="N51" s="225"/>
      <c r="O51" s="212"/>
      <c r="P51" s="213" t="str">
        <f aca="false">IF($A51="NEWCOD",IF($AC51="","No",$AC51),IF(ISTEXT($E51),"DEJA SAISI !",IF($A51="","",IF(ISERROR(VLOOKUP($A51,'[1]liste reference'!A$1:S$1048576,19,FALSE())),IF(ISERROR(VLOOKUP($A51,'[1]liste reference'!B$1:S$1048576,19,FALSE())),"",VLOOKUP($A51,'[1]liste reference'!B$1:S$1048576,19,FALSE())),VLOOKUP($A51,'[1]liste reference'!A$1:S$1048576,19,FALSE())))))</f>
        <v/>
      </c>
      <c r="Q51" s="214" t="str">
        <f aca="false">IF(ISTEXT(H51),"",(B51*$B$7/100)+(C51*$C$7/100))</f>
        <v/>
      </c>
      <c r="R51" s="215" t="str">
        <f aca="false">IF(OR(ISTEXT(H51),Q51=0),"",IF(Q51&lt;0.1,1,IF(Q51&lt;1,2,IF(Q51&lt;10,3,IF(Q51&lt;50,4,IF(Q51&gt;=50,5,""))))))</f>
        <v/>
      </c>
      <c r="S51" s="215" t="n">
        <f aca="false">IF(ISERROR(R51*I51),0,R51*I51)</f>
        <v>0</v>
      </c>
      <c r="T51" s="215" t="n">
        <f aca="false">IF(ISERROR(R51*I51*J51),0,R51*I51*J51)</f>
        <v>0</v>
      </c>
      <c r="U51" s="226" t="n">
        <f aca="false">IF(ISERROR(R51*J51),0,R51*J51)</f>
        <v>0</v>
      </c>
      <c r="V51" s="216" t="str">
        <f aca="false">IF(AND(A51="",F51=0),"",IF(F51=0,"Il manque le(s) % de rec. !",""))</f>
        <v/>
      </c>
      <c r="W51" s="217"/>
      <c r="Y51" s="215" t="str">
        <f aca="false">IF(A51="new.cod","NEWCOD",IF(AND((Z51=""),ISTEXT(A51)),A51,IF(Z51="","",INDEX('[1]liste reference'!$A$8:$A$904,Z51))))</f>
        <v/>
      </c>
      <c r="Z51" s="9" t="str">
        <f aca="false">IF(ISERROR(MATCH(A51,'[1]liste reference'!$A$8:$A$904,0)),IF(ISERROR(MATCH(A51,'[1]liste reference'!$B$8:$B$904,0)),"",(MATCH(A51,'[1]liste reference'!$B$8:$B$904,0))),(MATCH(A51,'[1]liste reference'!$A$8:$A$904,0)))</f>
        <v/>
      </c>
      <c r="AA51" s="218"/>
      <c r="AB51" s="219"/>
      <c r="AC51" s="219"/>
      <c r="BB51" s="9" t="str">
        <f aca="false">IF(A51="","",1)</f>
        <v/>
      </c>
    </row>
    <row r="52" customFormat="false" ht="12.75" hidden="false" customHeight="false" outlineLevel="0" collapsed="false">
      <c r="A52" s="220"/>
      <c r="B52" s="221"/>
      <c r="C52" s="222"/>
      <c r="D52" s="205" t="str">
        <f aca="false">IF(ISERROR(VLOOKUP($A52,'[1]liste reference'!$A$7:$D$904,2,0)),IF(ISERROR(VLOOKUP($A52,'[1]liste reference'!$B$7:$D$904,1,0)),"",VLOOKUP($A52,'[1]liste reference'!$B$7:$D$904,1,0)),VLOOKUP($A52,'[1]liste reference'!$A$7:$D$904,2,0))</f>
        <v/>
      </c>
      <c r="E52" s="223" t="n">
        <f aca="false">IF(D52="",0,VLOOKUP(D52,D$22:D51,1,0))</f>
        <v>0</v>
      </c>
      <c r="F52" s="228" t="n">
        <f aca="false">($B52*$B$7+$C52*$C$7)/100</f>
        <v>0</v>
      </c>
      <c r="G52" s="207" t="str">
        <f aca="false">IF(A52="","",IF(ISERROR(VLOOKUP($A52,'[1]liste reference'!$A$7:$P$904,13,0)),IF(ISERROR(VLOOKUP($A52,'[1]liste reference'!$B$7:$P$904,12,0)),"    -",VLOOKUP($A52,'[1]liste reference'!$B$7:$P$904,12,0)),VLOOKUP($A52,'[1]liste reference'!$A$7:$P$904,13,0)))</f>
        <v/>
      </c>
      <c r="H52" s="208" t="str">
        <f aca="false">IF(A52="","x",IF(ISERROR(VLOOKUP($A52,'[1]liste reference'!$A$8:$P$904,14,0)),IF(ISERROR(VLOOKUP($A52,'[1]liste reference'!$B$8:$P$904,13,0)),"x",VLOOKUP($A52,'[1]liste reference'!$B$8:$P$904,13,0)),VLOOKUP($A52,'[1]liste reference'!$A$8:$P$904,14,0)))</f>
        <v>x</v>
      </c>
      <c r="I52" s="209" t="str">
        <f aca="false">IF(ISNUMBER(H52),IF(ISERROR(VLOOKUP($A52,'[1]liste reference'!$A$7:$P$904,3,0)),IF(ISERROR(VLOOKUP($A52,'[1]liste reference'!$B$7:$P$904,2,0)),"",VLOOKUP($A52,'[1]liste reference'!$B$7:$P$904,2,0)),VLOOKUP($A52,'[1]liste reference'!$A$7:$P$904,3,0)),"")</f>
        <v/>
      </c>
      <c r="J52" s="209" t="str">
        <f aca="false">IF(ISNUMBER(H52),IF(ISERROR(VLOOKUP($A52,'[1]liste reference'!$A$7:$P$904,4,0)),IF(ISERROR(VLOOKUP($A52,'[1]liste reference'!$B$7:$P$904,3,0)),"",VLOOKUP($A52,'[1]liste reference'!$B$7:$P$904,3,0)),VLOOKUP($A52,'[1]liste reference'!$A$7:$P$904,4,0)),"")</f>
        <v/>
      </c>
      <c r="K52" s="210" t="str">
        <f aca="false">IF(A52="NEWCOD",IF(AB52="","Remplir le champs 'Nouveau taxa' svp.",$AB52),IF(ISTEXT($E52),"DEJA SAISI !",IF(A52="","",IF(ISERROR(VLOOKUP($A52,'[1]liste reference'!$A$7:$D$904,2,0)),IF(ISERROR(VLOOKUP($A52,'[1]liste reference'!$B$7:$D$904,1,0)),"code non répertorié ou synonyme",VLOOKUP($A52,'[1]liste reference'!$B$7:$D$904,1,0)),VLOOKUP(A52,'[1]liste reference'!$A$7:$D$904,2,0)))))</f>
        <v/>
      </c>
      <c r="L52" s="225"/>
      <c r="M52" s="225"/>
      <c r="N52" s="225"/>
      <c r="O52" s="212"/>
      <c r="P52" s="213" t="str">
        <f aca="false">IF($A52="NEWCOD",IF($AC52="","No",$AC52),IF(ISTEXT($E52),"DEJA SAISI !",IF($A52="","",IF(ISERROR(VLOOKUP($A52,'[1]liste reference'!A$1:S$1048576,19,FALSE())),IF(ISERROR(VLOOKUP($A52,'[1]liste reference'!B$1:S$1048576,19,FALSE())),"",VLOOKUP($A52,'[1]liste reference'!B$1:S$1048576,19,FALSE())),VLOOKUP($A52,'[1]liste reference'!A$1:S$1048576,19,FALSE())))))</f>
        <v/>
      </c>
      <c r="Q52" s="214" t="str">
        <f aca="false">IF(ISTEXT(H52),"",(B52*$B$7/100)+(C52*$C$7/100))</f>
        <v/>
      </c>
      <c r="R52" s="215" t="str">
        <f aca="false">IF(OR(ISTEXT(H52),Q52=0),"",IF(Q52&lt;0.1,1,IF(Q52&lt;1,2,IF(Q52&lt;10,3,IF(Q52&lt;50,4,IF(Q52&gt;=50,5,""))))))</f>
        <v/>
      </c>
      <c r="S52" s="215" t="n">
        <f aca="false">IF(ISERROR(R52*I52),0,R52*I52)</f>
        <v>0</v>
      </c>
      <c r="T52" s="215" t="n">
        <f aca="false">IF(ISERROR(R52*I52*J52),0,R52*I52*J52)</f>
        <v>0</v>
      </c>
      <c r="U52" s="226" t="n">
        <f aca="false">IF(ISERROR(R52*J52),0,R52*J52)</f>
        <v>0</v>
      </c>
      <c r="V52" s="216" t="str">
        <f aca="false">IF(AND(A52="",F52=0),"",IF(F52=0,"Il manque le(s) % de rec. !",""))</f>
        <v/>
      </c>
      <c r="W52" s="217"/>
      <c r="Y52" s="215" t="str">
        <f aca="false">IF(A52="new.cod","NEWCOD",IF(AND((Z52=""),ISTEXT(A52)),A52,IF(Z52="","",INDEX('[1]liste reference'!$A$8:$A$904,Z52))))</f>
        <v/>
      </c>
      <c r="Z52" s="9" t="str">
        <f aca="false">IF(ISERROR(MATCH(A52,'[1]liste reference'!$A$8:$A$904,0)),IF(ISERROR(MATCH(A52,'[1]liste reference'!$B$8:$B$904,0)),"",(MATCH(A52,'[1]liste reference'!$B$8:$B$904,0))),(MATCH(A52,'[1]liste reference'!$A$8:$A$904,0)))</f>
        <v/>
      </c>
      <c r="AA52" s="218"/>
      <c r="AB52" s="219"/>
      <c r="AC52" s="219"/>
      <c r="BB52" s="9" t="str">
        <f aca="false">IF(A52="","",1)</f>
        <v/>
      </c>
    </row>
    <row r="53" customFormat="false" ht="12.75" hidden="false" customHeight="false" outlineLevel="0" collapsed="false">
      <c r="A53" s="220"/>
      <c r="B53" s="221"/>
      <c r="C53" s="222"/>
      <c r="D53" s="205" t="str">
        <f aca="false">IF(ISERROR(VLOOKUP($A53,'[1]liste reference'!$A$7:$D$904,2,0)),IF(ISERROR(VLOOKUP($A53,'[1]liste reference'!$B$7:$D$904,1,0)),"",VLOOKUP($A53,'[1]liste reference'!$B$7:$D$904,1,0)),VLOOKUP($A53,'[1]liste reference'!$A$7:$D$904,2,0))</f>
        <v/>
      </c>
      <c r="E53" s="223" t="n">
        <f aca="false">IF(D53="",0,VLOOKUP(D53,D$22:D52,1,0))</f>
        <v>0</v>
      </c>
      <c r="F53" s="228" t="n">
        <f aca="false">($B53*$B$7+$C53*$C$7)/100</f>
        <v>0</v>
      </c>
      <c r="G53" s="207" t="str">
        <f aca="false">IF(A53="","",IF(ISERROR(VLOOKUP($A53,'[1]liste reference'!$A$7:$P$904,13,0)),IF(ISERROR(VLOOKUP($A53,'[1]liste reference'!$B$7:$P$904,12,0)),"    -",VLOOKUP($A53,'[1]liste reference'!$B$7:$P$904,12,0)),VLOOKUP($A53,'[1]liste reference'!$A$7:$P$904,13,0)))</f>
        <v/>
      </c>
      <c r="H53" s="208" t="str">
        <f aca="false">IF(A53="","x",IF(ISERROR(VLOOKUP($A53,'[1]liste reference'!$A$8:$P$904,14,0)),IF(ISERROR(VLOOKUP($A53,'[1]liste reference'!$B$8:$P$904,13,0)),"x",VLOOKUP($A53,'[1]liste reference'!$B$8:$P$904,13,0)),VLOOKUP($A53,'[1]liste reference'!$A$8:$P$904,14,0)))</f>
        <v>x</v>
      </c>
      <c r="I53" s="209" t="str">
        <f aca="false">IF(ISNUMBER(H53),IF(ISERROR(VLOOKUP($A53,'[1]liste reference'!$A$7:$P$904,3,0)),IF(ISERROR(VLOOKUP($A53,'[1]liste reference'!$B$7:$P$904,2,0)),"",VLOOKUP($A53,'[1]liste reference'!$B$7:$P$904,2,0)),VLOOKUP($A53,'[1]liste reference'!$A$7:$P$904,3,0)),"")</f>
        <v/>
      </c>
      <c r="J53" s="209" t="str">
        <f aca="false">IF(ISNUMBER(H53),IF(ISERROR(VLOOKUP($A53,'[1]liste reference'!$A$7:$P$904,4,0)),IF(ISERROR(VLOOKUP($A53,'[1]liste reference'!$B$7:$P$904,3,0)),"",VLOOKUP($A53,'[1]liste reference'!$B$7:$P$904,3,0)),VLOOKUP($A53,'[1]liste reference'!$A$7:$P$904,4,0)),"")</f>
        <v/>
      </c>
      <c r="K53" s="210" t="str">
        <f aca="false">IF(A53="NEWCOD",IF(AB53="","Remplir le champs 'Nouveau taxa' svp.",$AB53),IF(ISTEXT($E53),"DEJA SAISI !",IF(A53="","",IF(ISERROR(VLOOKUP($A53,'[1]liste reference'!$A$7:$D$904,2,0)),IF(ISERROR(VLOOKUP($A53,'[1]liste reference'!$B$7:$D$904,1,0)),"code non répertorié ou synonyme",VLOOKUP($A53,'[1]liste reference'!$B$7:$D$904,1,0)),VLOOKUP(A53,'[1]liste reference'!$A$7:$D$904,2,0)))))</f>
        <v/>
      </c>
      <c r="L53" s="225"/>
      <c r="M53" s="225"/>
      <c r="N53" s="225"/>
      <c r="O53" s="212"/>
      <c r="P53" s="213" t="str">
        <f aca="false">IF($A53="NEWCOD",IF($AC53="","No",$AC53),IF(ISTEXT($E53),"DEJA SAISI !",IF($A53="","",IF(ISERROR(VLOOKUP($A53,'[1]liste reference'!A$1:S$1048576,19,FALSE())),IF(ISERROR(VLOOKUP($A53,'[1]liste reference'!B$1:S$1048576,19,FALSE())),"",VLOOKUP($A53,'[1]liste reference'!B$1:S$1048576,19,FALSE())),VLOOKUP($A53,'[1]liste reference'!A$1:S$1048576,19,FALSE())))))</f>
        <v/>
      </c>
      <c r="Q53" s="214" t="str">
        <f aca="false">IF(ISTEXT(H53),"",(B53*$B$7/100)+(C53*$C$7/100))</f>
        <v/>
      </c>
      <c r="R53" s="215" t="str">
        <f aca="false">IF(OR(ISTEXT(H53),Q53=0),"",IF(Q53&lt;0.1,1,IF(Q53&lt;1,2,IF(Q53&lt;10,3,IF(Q53&lt;50,4,IF(Q53&gt;=50,5,""))))))</f>
        <v/>
      </c>
      <c r="S53" s="215" t="n">
        <f aca="false">IF(ISERROR(R53*I53),0,R53*I53)</f>
        <v>0</v>
      </c>
      <c r="T53" s="215" t="n">
        <f aca="false">IF(ISERROR(R53*I53*J53),0,R53*I53*J53)</f>
        <v>0</v>
      </c>
      <c r="U53" s="226" t="n">
        <f aca="false">IF(ISERROR(R53*J53),0,R53*J53)</f>
        <v>0</v>
      </c>
      <c r="V53" s="216" t="str">
        <f aca="false">IF(AND(A53="",F53=0),"",IF(F53=0,"Il manque le(s) % de rec. !",""))</f>
        <v/>
      </c>
      <c r="W53" s="217"/>
      <c r="Y53" s="215" t="str">
        <f aca="false">IF(A53="new.cod","NEWCOD",IF(AND((Z53=""),ISTEXT(A53)),A53,IF(Z53="","",INDEX('[1]liste reference'!$A$8:$A$904,Z53))))</f>
        <v/>
      </c>
      <c r="Z53" s="9" t="str">
        <f aca="false">IF(ISERROR(MATCH(A53,'[1]liste reference'!$A$8:$A$904,0)),IF(ISERROR(MATCH(A53,'[1]liste reference'!$B$8:$B$904,0)),"",(MATCH(A53,'[1]liste reference'!$B$8:$B$904,0))),(MATCH(A53,'[1]liste reference'!$A$8:$A$904,0)))</f>
        <v/>
      </c>
      <c r="AA53" s="218"/>
      <c r="AB53" s="219"/>
      <c r="AC53" s="219"/>
      <c r="BB53" s="9" t="str">
        <f aca="false">IF(A53="","",1)</f>
        <v/>
      </c>
    </row>
    <row r="54" customFormat="false" ht="12.75" hidden="false" customHeight="false" outlineLevel="0" collapsed="false">
      <c r="A54" s="220"/>
      <c r="B54" s="221"/>
      <c r="C54" s="222"/>
      <c r="D54" s="205" t="str">
        <f aca="false">IF(ISERROR(VLOOKUP($A54,'[1]liste reference'!$A$7:$D$904,2,0)),IF(ISERROR(VLOOKUP($A54,'[1]liste reference'!$B$7:$D$904,1,0)),"",VLOOKUP($A54,'[1]liste reference'!$B$7:$D$904,1,0)),VLOOKUP($A54,'[1]liste reference'!$A$7:$D$904,2,0))</f>
        <v/>
      </c>
      <c r="E54" s="223" t="n">
        <f aca="false">IF(D54="",0,VLOOKUP(D54,D$22:D53,1,0))</f>
        <v>0</v>
      </c>
      <c r="F54" s="228" t="n">
        <f aca="false">($B54*$B$7+$C54*$C$7)/100</f>
        <v>0</v>
      </c>
      <c r="G54" s="207" t="str">
        <f aca="false">IF(A54="","",IF(ISERROR(VLOOKUP($A54,'[1]liste reference'!$A$7:$P$904,13,0)),IF(ISERROR(VLOOKUP($A54,'[1]liste reference'!$B$7:$P$904,12,0)),"    -",VLOOKUP($A54,'[1]liste reference'!$B$7:$P$904,12,0)),VLOOKUP($A54,'[1]liste reference'!$A$7:$P$904,13,0)))</f>
        <v/>
      </c>
      <c r="H54" s="208" t="str">
        <f aca="false">IF(A54="","x",IF(ISERROR(VLOOKUP($A54,'[1]liste reference'!$A$8:$P$904,14,0)),IF(ISERROR(VLOOKUP($A54,'[1]liste reference'!$B$8:$P$904,13,0)),"x",VLOOKUP($A54,'[1]liste reference'!$B$8:$P$904,13,0)),VLOOKUP($A54,'[1]liste reference'!$A$8:$P$904,14,0)))</f>
        <v>x</v>
      </c>
      <c r="I54" s="209" t="str">
        <f aca="false">IF(ISNUMBER(H54),IF(ISERROR(VLOOKUP($A54,'[1]liste reference'!$A$7:$P$904,3,0)),IF(ISERROR(VLOOKUP($A54,'[1]liste reference'!$B$7:$P$904,2,0)),"",VLOOKUP($A54,'[1]liste reference'!$B$7:$P$904,2,0)),VLOOKUP($A54,'[1]liste reference'!$A$7:$P$904,3,0)),"")</f>
        <v/>
      </c>
      <c r="J54" s="209" t="str">
        <f aca="false">IF(ISNUMBER(H54),IF(ISERROR(VLOOKUP($A54,'[1]liste reference'!$A$7:$P$904,4,0)),IF(ISERROR(VLOOKUP($A54,'[1]liste reference'!$B$7:$P$904,3,0)),"",VLOOKUP($A54,'[1]liste reference'!$B$7:$P$904,3,0)),VLOOKUP($A54,'[1]liste reference'!$A$7:$P$904,4,0)),"")</f>
        <v/>
      </c>
      <c r="K54" s="210" t="str">
        <f aca="false">IF(A54="NEWCOD",IF(AB54="","Remplir le champs 'Nouveau taxa' svp.",$AB54),IF(ISTEXT($E54),"DEJA SAISI !",IF(A54="","",IF(ISERROR(VLOOKUP($A54,'[1]liste reference'!$A$7:$D$904,2,0)),IF(ISERROR(VLOOKUP($A54,'[1]liste reference'!$B$7:$D$904,1,0)),"code non répertorié ou synonyme",VLOOKUP($A54,'[1]liste reference'!$B$7:$D$904,1,0)),VLOOKUP(A54,'[1]liste reference'!$A$7:$D$904,2,0)))))</f>
        <v/>
      </c>
      <c r="L54" s="225"/>
      <c r="M54" s="225"/>
      <c r="N54" s="225"/>
      <c r="O54" s="212"/>
      <c r="P54" s="213" t="str">
        <f aca="false">IF($A54="NEWCOD",IF($AC54="","No",$AC54),IF(ISTEXT($E54),"DEJA SAISI !",IF($A54="","",IF(ISERROR(VLOOKUP($A54,'[1]liste reference'!A$1:S$1048576,19,FALSE())),IF(ISERROR(VLOOKUP($A54,'[1]liste reference'!B$1:S$1048576,19,FALSE())),"",VLOOKUP($A54,'[1]liste reference'!B$1:S$1048576,19,FALSE())),VLOOKUP($A54,'[1]liste reference'!A$1:S$1048576,19,FALSE())))))</f>
        <v/>
      </c>
      <c r="Q54" s="214" t="str">
        <f aca="false">IF(ISTEXT(H54),"",(B54*$B$7/100)+(C54*$C$7/100))</f>
        <v/>
      </c>
      <c r="R54" s="215" t="str">
        <f aca="false">IF(OR(ISTEXT(H54),Q54=0),"",IF(Q54&lt;0.1,1,IF(Q54&lt;1,2,IF(Q54&lt;10,3,IF(Q54&lt;50,4,IF(Q54&gt;=50,5,""))))))</f>
        <v/>
      </c>
      <c r="S54" s="215" t="n">
        <f aca="false">IF(ISERROR(R54*I54),0,R54*I54)</f>
        <v>0</v>
      </c>
      <c r="T54" s="215" t="n">
        <f aca="false">IF(ISERROR(R54*I54*J54),0,R54*I54*J54)</f>
        <v>0</v>
      </c>
      <c r="U54" s="226" t="n">
        <f aca="false">IF(ISERROR(R54*J54),0,R54*J54)</f>
        <v>0</v>
      </c>
      <c r="V54" s="216" t="str">
        <f aca="false">IF(AND(A54="",F54=0),"",IF(F54=0,"Il manque le(s) % de rec. !",""))</f>
        <v/>
      </c>
      <c r="W54" s="217"/>
      <c r="Y54" s="215" t="str">
        <f aca="false">IF(A54="new.cod","NEWCOD",IF(AND((Z54=""),ISTEXT(A54)),A54,IF(Z54="","",INDEX('[1]liste reference'!$A$8:$A$904,Z54))))</f>
        <v/>
      </c>
      <c r="Z54" s="9" t="str">
        <f aca="false">IF(ISERROR(MATCH(A54,'[1]liste reference'!$A$8:$A$904,0)),IF(ISERROR(MATCH(A54,'[1]liste reference'!$B$8:$B$904,0)),"",(MATCH(A54,'[1]liste reference'!$B$8:$B$904,0))),(MATCH(A54,'[1]liste reference'!$A$8:$A$904,0)))</f>
        <v/>
      </c>
      <c r="AA54" s="218"/>
      <c r="AB54" s="219"/>
      <c r="AC54" s="219"/>
      <c r="BB54" s="9" t="str">
        <f aca="false">IF(A54="","",1)</f>
        <v/>
      </c>
    </row>
    <row r="55" customFormat="false" ht="12.75" hidden="false" customHeight="false" outlineLevel="0" collapsed="false">
      <c r="A55" s="220"/>
      <c r="B55" s="221"/>
      <c r="C55" s="222"/>
      <c r="D55" s="205" t="str">
        <f aca="false">IF(ISERROR(VLOOKUP($A55,'[1]liste reference'!$A$7:$D$904,2,0)),IF(ISERROR(VLOOKUP($A55,'[1]liste reference'!$B$7:$D$904,1,0)),"",VLOOKUP($A55,'[1]liste reference'!$B$7:$D$904,1,0)),VLOOKUP($A55,'[1]liste reference'!$A$7:$D$904,2,0))</f>
        <v/>
      </c>
      <c r="E55" s="223" t="n">
        <f aca="false">IF(D55="",0,VLOOKUP(D55,D$22:D54,1,0))</f>
        <v>0</v>
      </c>
      <c r="F55" s="228" t="n">
        <f aca="false">($B55*$B$7+$C55*$C$7)/100</f>
        <v>0</v>
      </c>
      <c r="G55" s="207" t="str">
        <f aca="false">IF(A55="","",IF(ISERROR(VLOOKUP($A55,'[1]liste reference'!$A$7:$P$904,13,0)),IF(ISERROR(VLOOKUP($A55,'[1]liste reference'!$B$7:$P$904,12,0)),"    -",VLOOKUP($A55,'[1]liste reference'!$B$7:$P$904,12,0)),VLOOKUP($A55,'[1]liste reference'!$A$7:$P$904,13,0)))</f>
        <v/>
      </c>
      <c r="H55" s="208" t="str">
        <f aca="false">IF(A55="","x",IF(ISERROR(VLOOKUP($A55,'[1]liste reference'!$A$8:$P$904,14,0)),IF(ISERROR(VLOOKUP($A55,'[1]liste reference'!$B$8:$P$904,13,0)),"x",VLOOKUP($A55,'[1]liste reference'!$B$8:$P$904,13,0)),VLOOKUP($A55,'[1]liste reference'!$A$8:$P$904,14,0)))</f>
        <v>x</v>
      </c>
      <c r="I55" s="209" t="str">
        <f aca="false">IF(ISNUMBER(H55),IF(ISERROR(VLOOKUP($A55,'[1]liste reference'!$A$7:$P$904,3,0)),IF(ISERROR(VLOOKUP($A55,'[1]liste reference'!$B$7:$P$904,2,0)),"",VLOOKUP($A55,'[1]liste reference'!$B$7:$P$904,2,0)),VLOOKUP($A55,'[1]liste reference'!$A$7:$P$904,3,0)),"")</f>
        <v/>
      </c>
      <c r="J55" s="209" t="str">
        <f aca="false">IF(ISNUMBER(H55),IF(ISERROR(VLOOKUP($A55,'[1]liste reference'!$A$7:$P$904,4,0)),IF(ISERROR(VLOOKUP($A55,'[1]liste reference'!$B$7:$P$904,3,0)),"",VLOOKUP($A55,'[1]liste reference'!$B$7:$P$904,3,0)),VLOOKUP($A55,'[1]liste reference'!$A$7:$P$904,4,0)),"")</f>
        <v/>
      </c>
      <c r="K55" s="210" t="str">
        <f aca="false">IF(A55="NEWCOD",IF(AB55="","Remplir le champs 'Nouveau taxa' svp.",$AB55),IF(ISTEXT($E55),"DEJA SAISI !",IF(A55="","",IF(ISERROR(VLOOKUP($A55,'[1]liste reference'!$A$7:$D$904,2,0)),IF(ISERROR(VLOOKUP($A55,'[1]liste reference'!$B$7:$D$904,1,0)),"code non répertorié ou synonyme",VLOOKUP($A55,'[1]liste reference'!$B$7:$D$904,1,0)),VLOOKUP(A55,'[1]liste reference'!$A$7:$D$904,2,0)))))</f>
        <v/>
      </c>
      <c r="L55" s="225"/>
      <c r="M55" s="225"/>
      <c r="N55" s="225"/>
      <c r="O55" s="212"/>
      <c r="P55" s="213" t="str">
        <f aca="false">IF($A55="NEWCOD",IF($AC55="","No",$AC55),IF(ISTEXT($E55),"DEJA SAISI !",IF($A55="","",IF(ISERROR(VLOOKUP($A55,'[1]liste reference'!A$1:S$1048576,19,FALSE())),IF(ISERROR(VLOOKUP($A55,'[1]liste reference'!B$1:S$1048576,19,FALSE())),"",VLOOKUP($A55,'[1]liste reference'!B$1:S$1048576,19,FALSE())),VLOOKUP($A55,'[1]liste reference'!A$1:S$1048576,19,FALSE())))))</f>
        <v/>
      </c>
      <c r="Q55" s="214" t="str">
        <f aca="false">IF(ISTEXT(H55),"",(B55*$B$7/100)+(C55*$C$7/100))</f>
        <v/>
      </c>
      <c r="R55" s="215" t="str">
        <f aca="false">IF(OR(ISTEXT(H55),Q55=0),"",IF(Q55&lt;0.1,1,IF(Q55&lt;1,2,IF(Q55&lt;10,3,IF(Q55&lt;50,4,IF(Q55&gt;=50,5,""))))))</f>
        <v/>
      </c>
      <c r="S55" s="215" t="n">
        <f aca="false">IF(ISERROR(R55*I55),0,R55*I55)</f>
        <v>0</v>
      </c>
      <c r="T55" s="215" t="n">
        <f aca="false">IF(ISERROR(R55*I55*J55),0,R55*I55*J55)</f>
        <v>0</v>
      </c>
      <c r="U55" s="226" t="n">
        <f aca="false">IF(ISERROR(R55*J55),0,R55*J55)</f>
        <v>0</v>
      </c>
      <c r="V55" s="216" t="str">
        <f aca="false">IF(AND(A55="",F55=0),"",IF(F55=0,"Il manque le(s) % de rec. !",""))</f>
        <v/>
      </c>
      <c r="W55" s="217"/>
      <c r="Y55" s="215" t="str">
        <f aca="false">IF(A55="new.cod","NEWCOD",IF(AND((Z55=""),ISTEXT(A55)),A55,IF(Z55="","",INDEX('[1]liste reference'!$A$8:$A$904,Z55))))</f>
        <v/>
      </c>
      <c r="Z55" s="9" t="str">
        <f aca="false">IF(ISERROR(MATCH(A55,'[1]liste reference'!$A$8:$A$904,0)),IF(ISERROR(MATCH(A55,'[1]liste reference'!$B$8:$B$904,0)),"",(MATCH(A55,'[1]liste reference'!$B$8:$B$904,0))),(MATCH(A55,'[1]liste reference'!$A$8:$A$904,0)))</f>
        <v/>
      </c>
      <c r="AA55" s="218"/>
      <c r="AB55" s="219"/>
      <c r="AC55" s="219"/>
      <c r="BB55" s="9" t="str">
        <f aca="false">IF(A55="","",1)</f>
        <v/>
      </c>
    </row>
    <row r="56" customFormat="false" ht="12.75" hidden="false" customHeight="false" outlineLevel="0" collapsed="false">
      <c r="A56" s="220"/>
      <c r="B56" s="221"/>
      <c r="C56" s="222"/>
      <c r="D56" s="205" t="str">
        <f aca="false">IF(ISERROR(VLOOKUP($A56,'[1]liste reference'!$A$7:$D$904,2,0)),IF(ISERROR(VLOOKUP($A56,'[1]liste reference'!$B$7:$D$904,1,0)),"",VLOOKUP($A56,'[1]liste reference'!$B$7:$D$904,1,0)),VLOOKUP($A56,'[1]liste reference'!$A$7:$D$904,2,0))</f>
        <v/>
      </c>
      <c r="E56" s="223" t="n">
        <f aca="false">IF(D56="",0,VLOOKUP(D56,D$22:D55,1,0))</f>
        <v>0</v>
      </c>
      <c r="F56" s="228" t="n">
        <f aca="false">($B56*$B$7+$C56*$C$7)/100</f>
        <v>0</v>
      </c>
      <c r="G56" s="207" t="str">
        <f aca="false">IF(A56="","",IF(ISERROR(VLOOKUP($A56,'[1]liste reference'!$A$7:$P$904,13,0)),IF(ISERROR(VLOOKUP($A56,'[1]liste reference'!$B$7:$P$904,12,0)),"    -",VLOOKUP($A56,'[1]liste reference'!$B$7:$P$904,12,0)),VLOOKUP($A56,'[1]liste reference'!$A$7:$P$904,13,0)))</f>
        <v/>
      </c>
      <c r="H56" s="208" t="str">
        <f aca="false">IF(A56="","x",IF(ISERROR(VLOOKUP($A56,'[1]liste reference'!$A$8:$P$904,14,0)),IF(ISERROR(VLOOKUP($A56,'[1]liste reference'!$B$8:$P$904,13,0)),"x",VLOOKUP($A56,'[1]liste reference'!$B$8:$P$904,13,0)),VLOOKUP($A56,'[1]liste reference'!$A$8:$P$904,14,0)))</f>
        <v>x</v>
      </c>
      <c r="I56" s="209" t="str">
        <f aca="false">IF(ISNUMBER(H56),IF(ISERROR(VLOOKUP($A56,'[1]liste reference'!$A$7:$P$904,3,0)),IF(ISERROR(VLOOKUP($A56,'[1]liste reference'!$B$7:$P$904,2,0)),"",VLOOKUP($A56,'[1]liste reference'!$B$7:$P$904,2,0)),VLOOKUP($A56,'[1]liste reference'!$A$7:$P$904,3,0)),"")</f>
        <v/>
      </c>
      <c r="J56" s="209" t="str">
        <f aca="false">IF(ISNUMBER(H56),IF(ISERROR(VLOOKUP($A56,'[1]liste reference'!$A$7:$P$904,4,0)),IF(ISERROR(VLOOKUP($A56,'[1]liste reference'!$B$7:$P$904,3,0)),"",VLOOKUP($A56,'[1]liste reference'!$B$7:$P$904,3,0)),VLOOKUP($A56,'[1]liste reference'!$A$7:$P$904,4,0)),"")</f>
        <v/>
      </c>
      <c r="K56" s="210" t="str">
        <f aca="false">IF(A56="NEWCOD",IF(AB56="","Remplir le champs 'Nouveau taxa' svp.",$AB56),IF(ISTEXT($E56),"DEJA SAISI !",IF(A56="","",IF(ISERROR(VLOOKUP($A56,'[1]liste reference'!$A$7:$D$904,2,0)),IF(ISERROR(VLOOKUP($A56,'[1]liste reference'!$B$7:$D$904,1,0)),"code non répertorié ou synonyme",VLOOKUP($A56,'[1]liste reference'!$B$7:$D$904,1,0)),VLOOKUP(A56,'[1]liste reference'!$A$7:$D$904,2,0)))))</f>
        <v/>
      </c>
      <c r="L56" s="225"/>
      <c r="M56" s="225"/>
      <c r="N56" s="225"/>
      <c r="O56" s="212"/>
      <c r="P56" s="213" t="str">
        <f aca="false">IF($A56="NEWCOD",IF($AC56="","No",$AC56),IF(ISTEXT($E56),"DEJA SAISI !",IF($A56="","",IF(ISERROR(VLOOKUP($A56,'[1]liste reference'!A$1:S$1048576,19,FALSE())),IF(ISERROR(VLOOKUP($A56,'[1]liste reference'!B$1:S$1048576,19,FALSE())),"",VLOOKUP($A56,'[1]liste reference'!B$1:S$1048576,19,FALSE())),VLOOKUP($A56,'[1]liste reference'!A$1:S$1048576,19,FALSE())))))</f>
        <v/>
      </c>
      <c r="Q56" s="214" t="str">
        <f aca="false">IF(ISTEXT(H56),"",(B56*$B$7/100)+(C56*$C$7/100))</f>
        <v/>
      </c>
      <c r="R56" s="215" t="str">
        <f aca="false">IF(OR(ISTEXT(H56),Q56=0),"",IF(Q56&lt;0.1,1,IF(Q56&lt;1,2,IF(Q56&lt;10,3,IF(Q56&lt;50,4,IF(Q56&gt;=50,5,""))))))</f>
        <v/>
      </c>
      <c r="S56" s="215" t="n">
        <f aca="false">IF(ISERROR(R56*I56),0,R56*I56)</f>
        <v>0</v>
      </c>
      <c r="T56" s="215" t="n">
        <f aca="false">IF(ISERROR(R56*I56*J56),0,R56*I56*J56)</f>
        <v>0</v>
      </c>
      <c r="U56" s="226" t="n">
        <f aca="false">IF(ISERROR(R56*J56),0,R56*J56)</f>
        <v>0</v>
      </c>
      <c r="V56" s="216" t="str">
        <f aca="false">IF(AND(A56="",F56=0),"",IF(F56=0,"Il manque le(s) % de rec. !",""))</f>
        <v/>
      </c>
      <c r="W56" s="217"/>
      <c r="Y56" s="215" t="str">
        <f aca="false">IF(A56="new.cod","NEWCOD",IF(AND((Z56=""),ISTEXT(A56)),A56,IF(Z56="","",INDEX('[1]liste reference'!$A$8:$A$904,Z56))))</f>
        <v/>
      </c>
      <c r="Z56" s="9" t="str">
        <f aca="false">IF(ISERROR(MATCH(A56,'[1]liste reference'!$A$8:$A$904,0)),IF(ISERROR(MATCH(A56,'[1]liste reference'!$B$8:$B$904,0)),"",(MATCH(A56,'[1]liste reference'!$B$8:$B$904,0))),(MATCH(A56,'[1]liste reference'!$A$8:$A$904,0)))</f>
        <v/>
      </c>
      <c r="AA56" s="218"/>
      <c r="AB56" s="219"/>
      <c r="AC56" s="219"/>
      <c r="BB56" s="9" t="str">
        <f aca="false">IF(A56="","",1)</f>
        <v/>
      </c>
    </row>
    <row r="57" customFormat="false" ht="12.75" hidden="false" customHeight="false" outlineLevel="0" collapsed="false">
      <c r="A57" s="220"/>
      <c r="B57" s="221"/>
      <c r="C57" s="222"/>
      <c r="D57" s="205" t="str">
        <f aca="false">IF(ISERROR(VLOOKUP($A57,'[1]liste reference'!$A$7:$D$904,2,0)),IF(ISERROR(VLOOKUP($A57,'[1]liste reference'!$B$7:$D$904,1,0)),"",VLOOKUP($A57,'[1]liste reference'!$B$7:$D$904,1,0)),VLOOKUP($A57,'[1]liste reference'!$A$7:$D$904,2,0))</f>
        <v/>
      </c>
      <c r="E57" s="223" t="n">
        <f aca="false">IF(D57="",0,VLOOKUP(D57,D$21:D56,1,0))</f>
        <v>0</v>
      </c>
      <c r="F57" s="228" t="n">
        <f aca="false">($B57*$B$7+$C57*$C$7)/100</f>
        <v>0</v>
      </c>
      <c r="G57" s="207" t="str">
        <f aca="false">IF(A57="","",IF(ISERROR(VLOOKUP($A57,'[1]liste reference'!$A$7:$P$904,13,0)),IF(ISERROR(VLOOKUP($A57,'[1]liste reference'!$B$7:$P$904,12,0)),"    -",VLOOKUP($A57,'[1]liste reference'!$B$7:$P$904,12,0)),VLOOKUP($A57,'[1]liste reference'!$A$7:$P$904,13,0)))</f>
        <v/>
      </c>
      <c r="H57" s="208" t="str">
        <f aca="false">IF(A57="","x",IF(ISERROR(VLOOKUP($A57,'[1]liste reference'!$A$8:$P$904,14,0)),IF(ISERROR(VLOOKUP($A57,'[1]liste reference'!$B$8:$P$904,13,0)),"x",VLOOKUP($A57,'[1]liste reference'!$B$8:$P$904,13,0)),VLOOKUP($A57,'[1]liste reference'!$A$8:$P$904,14,0)))</f>
        <v>x</v>
      </c>
      <c r="I57" s="209" t="str">
        <f aca="false">IF(ISNUMBER(H57),IF(ISERROR(VLOOKUP($A57,'[1]liste reference'!$A$7:$P$904,3,0)),IF(ISERROR(VLOOKUP($A57,'[1]liste reference'!$B$7:$P$904,2,0)),"",VLOOKUP($A57,'[1]liste reference'!$B$7:$P$904,2,0)),VLOOKUP($A57,'[1]liste reference'!$A$7:$P$904,3,0)),"")</f>
        <v/>
      </c>
      <c r="J57" s="209" t="str">
        <f aca="false">IF(ISNUMBER(H57),IF(ISERROR(VLOOKUP($A57,'[1]liste reference'!$A$7:$P$904,4,0)),IF(ISERROR(VLOOKUP($A57,'[1]liste reference'!$B$7:$P$904,3,0)),"",VLOOKUP($A57,'[1]liste reference'!$B$7:$P$904,3,0)),VLOOKUP($A57,'[1]liste reference'!$A$7:$P$904,4,0)),"")</f>
        <v/>
      </c>
      <c r="K57" s="210" t="str">
        <f aca="false">IF(A57="NEWCOD",IF(AB57="","Remplir le champs 'Nouveau taxa' svp.",$AB57),IF(ISTEXT($E57),"DEJA SAISI !",IF(A57="","",IF(ISERROR(VLOOKUP($A57,'[1]liste reference'!$A$7:$D$904,2,0)),IF(ISERROR(VLOOKUP($A57,'[1]liste reference'!$B$7:$D$904,1,0)),"code non répertorié ou synonyme",VLOOKUP($A57,'[1]liste reference'!$B$7:$D$904,1,0)),VLOOKUP(A57,'[1]liste reference'!$A$7:$D$904,2,0)))))</f>
        <v/>
      </c>
      <c r="L57" s="225"/>
      <c r="M57" s="225"/>
      <c r="N57" s="225"/>
      <c r="O57" s="212"/>
      <c r="P57" s="213" t="str">
        <f aca="false">IF($A57="NEWCOD",IF($AC57="","No",$AC57),IF(ISTEXT($E57),"DEJA SAISI !",IF($A57="","",IF(ISERROR(VLOOKUP($A57,'[1]liste reference'!A$1:S$1048576,19,FALSE())),IF(ISERROR(VLOOKUP($A57,'[1]liste reference'!B$1:S$1048576,19,FALSE())),"",VLOOKUP($A57,'[1]liste reference'!B$1:S$1048576,19,FALSE())),VLOOKUP($A57,'[1]liste reference'!A$1:S$1048576,19,FALSE())))))</f>
        <v/>
      </c>
      <c r="Q57" s="214" t="str">
        <f aca="false">IF(ISTEXT(H57),"",(B57*$B$7/100)+(C57*$C$7/100))</f>
        <v/>
      </c>
      <c r="R57" s="215" t="str">
        <f aca="false">IF(OR(ISTEXT(H57),Q57=0),"",IF(Q57&lt;0.1,1,IF(Q57&lt;1,2,IF(Q57&lt;10,3,IF(Q57&lt;50,4,IF(Q57&gt;=50,5,""))))))</f>
        <v/>
      </c>
      <c r="S57" s="215" t="n">
        <f aca="false">IF(ISERROR(R57*I57),0,R57*I57)</f>
        <v>0</v>
      </c>
      <c r="T57" s="215" t="n">
        <f aca="false">IF(ISERROR(R57*I57*J57),0,R57*I57*J57)</f>
        <v>0</v>
      </c>
      <c r="U57" s="226" t="n">
        <f aca="false">IF(ISERROR(R57*J57),0,R57*J57)</f>
        <v>0</v>
      </c>
      <c r="V57" s="216" t="str">
        <f aca="false">IF(AND(A57="",F57=0),"",IF(F57=0,"Il manque le(s) % de rec. !",""))</f>
        <v/>
      </c>
      <c r="W57" s="217"/>
      <c r="X57" s="229"/>
      <c r="Y57" s="215" t="str">
        <f aca="false">IF(A57="new.cod","NEWCOD",IF(AND((Z57=""),ISTEXT(A57)),A57,IF(Z57="","",INDEX('[1]liste reference'!$A$8:$A$904,Z57))))</f>
        <v/>
      </c>
      <c r="Z57" s="9" t="str">
        <f aca="false">IF(ISERROR(MATCH(A57,'[1]liste reference'!$A$8:$A$904,0)),IF(ISERROR(MATCH(A57,'[1]liste reference'!$B$8:$B$904,0)),"",(MATCH(A57,'[1]liste reference'!$B$8:$B$904,0))),(MATCH(A57,'[1]liste reference'!$A$8:$A$904,0)))</f>
        <v/>
      </c>
      <c r="AA57" s="218"/>
      <c r="AB57" s="219"/>
      <c r="AC57" s="219"/>
      <c r="BB57" s="9" t="str">
        <f aca="false">IF(A57="","",1)</f>
        <v/>
      </c>
    </row>
    <row r="58" customFormat="false" ht="12.75" hidden="false" customHeight="false" outlineLevel="0" collapsed="false">
      <c r="A58" s="220"/>
      <c r="B58" s="221"/>
      <c r="C58" s="222"/>
      <c r="D58" s="205" t="str">
        <f aca="false">IF(ISERROR(VLOOKUP($A58,'[1]liste reference'!$A$7:$D$904,2,0)),IF(ISERROR(VLOOKUP($A58,'[1]liste reference'!$B$7:$D$904,1,0)),"",VLOOKUP($A58,'[1]liste reference'!$B$7:$D$904,1,0)),VLOOKUP($A58,'[1]liste reference'!$A$7:$D$904,2,0))</f>
        <v/>
      </c>
      <c r="E58" s="223" t="n">
        <f aca="false">IF(D58="",0,VLOOKUP(D58,D$22:D57,1,0))</f>
        <v>0</v>
      </c>
      <c r="F58" s="228" t="n">
        <f aca="false">($B58*$B$7+$C58*$C$7)/100</f>
        <v>0</v>
      </c>
      <c r="G58" s="207" t="str">
        <f aca="false">IF(A58="","",IF(ISERROR(VLOOKUP($A58,'[1]liste reference'!$A$7:$P$904,13,0)),IF(ISERROR(VLOOKUP($A58,'[1]liste reference'!$B$7:$P$904,12,0)),"    -",VLOOKUP($A58,'[1]liste reference'!$B$7:$P$904,12,0)),VLOOKUP($A58,'[1]liste reference'!$A$7:$P$904,13,0)))</f>
        <v/>
      </c>
      <c r="H58" s="208" t="str">
        <f aca="false">IF(A58="","x",IF(ISERROR(VLOOKUP($A58,'[1]liste reference'!$A$8:$P$904,14,0)),IF(ISERROR(VLOOKUP($A58,'[1]liste reference'!$B$8:$P$904,13,0)),"x",VLOOKUP($A58,'[1]liste reference'!$B$8:$P$904,13,0)),VLOOKUP($A58,'[1]liste reference'!$A$8:$P$904,14,0)))</f>
        <v>x</v>
      </c>
      <c r="I58" s="209" t="str">
        <f aca="false">IF(ISNUMBER(H58),IF(ISERROR(VLOOKUP($A58,'[1]liste reference'!$A$7:$P$904,3,0)),IF(ISERROR(VLOOKUP($A58,'[1]liste reference'!$B$7:$P$904,2,0)),"",VLOOKUP($A58,'[1]liste reference'!$B$7:$P$904,2,0)),VLOOKUP($A58,'[1]liste reference'!$A$7:$P$904,3,0)),"")</f>
        <v/>
      </c>
      <c r="J58" s="209" t="str">
        <f aca="false">IF(ISNUMBER(H58),IF(ISERROR(VLOOKUP($A58,'[1]liste reference'!$A$7:$P$904,4,0)),IF(ISERROR(VLOOKUP($A58,'[1]liste reference'!$B$7:$P$904,3,0)),"",VLOOKUP($A58,'[1]liste reference'!$B$7:$P$904,3,0)),VLOOKUP($A58,'[1]liste reference'!$A$7:$P$904,4,0)),"")</f>
        <v/>
      </c>
      <c r="K58" s="210" t="str">
        <f aca="false">IF(A58="NEWCOD",IF(AB58="","Remplir le champs 'Nouveau taxa' svp.",$AB58),IF(ISTEXT($E58),"DEJA SAISI !",IF(A58="","",IF(ISERROR(VLOOKUP($A58,'[1]liste reference'!$A$7:$D$904,2,0)),IF(ISERROR(VLOOKUP($A58,'[1]liste reference'!$B$7:$D$904,1,0)),"code non répertorié ou synonyme",VLOOKUP($A58,'[1]liste reference'!$B$7:$D$904,1,0)),VLOOKUP(A58,'[1]liste reference'!$A$7:$D$904,2,0)))))</f>
        <v/>
      </c>
      <c r="L58" s="225"/>
      <c r="M58" s="225"/>
      <c r="N58" s="225"/>
      <c r="O58" s="212"/>
      <c r="P58" s="213" t="str">
        <f aca="false">IF($A58="NEWCOD",IF($AC58="","No",$AC58),IF(ISTEXT($E58),"DEJA SAISI !",IF($A58="","",IF(ISERROR(VLOOKUP($A58,'[1]liste reference'!A$1:S$1048576,19,FALSE())),IF(ISERROR(VLOOKUP($A58,'[1]liste reference'!B$1:S$1048576,19,FALSE())),"",VLOOKUP($A58,'[1]liste reference'!B$1:S$1048576,19,FALSE())),VLOOKUP($A58,'[1]liste reference'!A$1:S$1048576,19,FALSE())))))</f>
        <v/>
      </c>
      <c r="Q58" s="214" t="str">
        <f aca="false">IF(ISTEXT(H58),"",(B58*$B$7/100)+(C58*$C$7/100))</f>
        <v/>
      </c>
      <c r="R58" s="215" t="str">
        <f aca="false">IF(OR(ISTEXT(H58),Q58=0),"",IF(Q58&lt;0.1,1,IF(Q58&lt;1,2,IF(Q58&lt;10,3,IF(Q58&lt;50,4,IF(Q58&gt;=50,5,""))))))</f>
        <v/>
      </c>
      <c r="S58" s="215" t="n">
        <f aca="false">IF(ISERROR(R58*I58),0,R58*I58)</f>
        <v>0</v>
      </c>
      <c r="T58" s="215" t="n">
        <f aca="false">IF(ISERROR(R58*I58*J58),0,R58*I58*J58)</f>
        <v>0</v>
      </c>
      <c r="U58" s="226" t="n">
        <f aca="false">IF(ISERROR(R58*J58),0,R58*J58)</f>
        <v>0</v>
      </c>
      <c r="V58" s="216" t="str">
        <f aca="false">IF(AND(A58="",F58=0),"",IF(F58=0,"Il manque le(s) % de rec. !",""))</f>
        <v/>
      </c>
      <c r="W58" s="217"/>
      <c r="Y58" s="215" t="str">
        <f aca="false">IF(A58="new.cod","NEWCOD",IF(AND((Z58=""),ISTEXT(A58)),A58,IF(Z58="","",INDEX('[1]liste reference'!$A$8:$A$904,Z58))))</f>
        <v/>
      </c>
      <c r="Z58" s="9" t="str">
        <f aca="false">IF(ISERROR(MATCH(A58,'[1]liste reference'!$A$8:$A$904,0)),IF(ISERROR(MATCH(A58,'[1]liste reference'!$B$8:$B$904,0)),"",(MATCH(A58,'[1]liste reference'!$B$8:$B$904,0))),(MATCH(A58,'[1]liste reference'!$A$8:$A$904,0)))</f>
        <v/>
      </c>
      <c r="AA58" s="218"/>
      <c r="AB58" s="219"/>
      <c r="AC58" s="219"/>
      <c r="BB58" s="9" t="str">
        <f aca="false">IF(A58="","",1)</f>
        <v/>
      </c>
    </row>
    <row r="59" customFormat="false" ht="12.75" hidden="false" customHeight="false" outlineLevel="0" collapsed="false">
      <c r="A59" s="220"/>
      <c r="B59" s="221"/>
      <c r="C59" s="222"/>
      <c r="D59" s="205" t="str">
        <f aca="false">IF(ISERROR(VLOOKUP($A59,'[1]liste reference'!$A$7:$D$904,2,0)),IF(ISERROR(VLOOKUP($A59,'[1]liste reference'!$B$7:$D$904,1,0)),"",VLOOKUP($A59,'[1]liste reference'!$B$7:$D$904,1,0)),VLOOKUP($A59,'[1]liste reference'!$A$7:$D$904,2,0))</f>
        <v/>
      </c>
      <c r="E59" s="223" t="n">
        <f aca="false">IF(D59="",0,VLOOKUP(D59,D$22:D58,1,0))</f>
        <v>0</v>
      </c>
      <c r="F59" s="228" t="n">
        <f aca="false">($B59*$B$7+$C59*$C$7)/100</f>
        <v>0</v>
      </c>
      <c r="G59" s="207" t="str">
        <f aca="false">IF(A59="","",IF(ISERROR(VLOOKUP($A59,'[1]liste reference'!$A$7:$P$904,13,0)),IF(ISERROR(VLOOKUP($A59,'[1]liste reference'!$B$7:$P$904,12,0)),"    -",VLOOKUP($A59,'[1]liste reference'!$B$7:$P$904,12,0)),VLOOKUP($A59,'[1]liste reference'!$A$7:$P$904,13,0)))</f>
        <v/>
      </c>
      <c r="H59" s="208" t="str">
        <f aca="false">IF(A59="","x",IF(ISERROR(VLOOKUP($A59,'[1]liste reference'!$A$8:$P$904,14,0)),IF(ISERROR(VLOOKUP($A59,'[1]liste reference'!$B$8:$P$904,13,0)),"x",VLOOKUP($A59,'[1]liste reference'!$B$8:$P$904,13,0)),VLOOKUP($A59,'[1]liste reference'!$A$8:$P$904,14,0)))</f>
        <v>x</v>
      </c>
      <c r="I59" s="209" t="str">
        <f aca="false">IF(ISNUMBER(H59),IF(ISERROR(VLOOKUP($A59,'[1]liste reference'!$A$7:$P$904,3,0)),IF(ISERROR(VLOOKUP($A59,'[1]liste reference'!$B$7:$P$904,2,0)),"",VLOOKUP($A59,'[1]liste reference'!$B$7:$P$904,2,0)),VLOOKUP($A59,'[1]liste reference'!$A$7:$P$904,3,0)),"")</f>
        <v/>
      </c>
      <c r="J59" s="209" t="str">
        <f aca="false">IF(ISNUMBER(H59),IF(ISERROR(VLOOKUP($A59,'[1]liste reference'!$A$7:$P$904,4,0)),IF(ISERROR(VLOOKUP($A59,'[1]liste reference'!$B$7:$P$904,3,0)),"",VLOOKUP($A59,'[1]liste reference'!$B$7:$P$904,3,0)),VLOOKUP($A59,'[1]liste reference'!$A$7:$P$904,4,0)),"")</f>
        <v/>
      </c>
      <c r="K59" s="210" t="str">
        <f aca="false">IF(A59="NEWCOD",IF(AB59="","Remplir le champs 'Nouveau taxa' svp.",$AB59),IF(ISTEXT($E59),"DEJA SAISI !",IF(A59="","",IF(ISERROR(VLOOKUP($A59,'[1]liste reference'!$A$7:$D$904,2,0)),IF(ISERROR(VLOOKUP($A59,'[1]liste reference'!$B$7:$D$904,1,0)),"code non répertorié ou synonyme",VLOOKUP($A59,'[1]liste reference'!$B$7:$D$904,1,0)),VLOOKUP(A59,'[1]liste reference'!$A$7:$D$904,2,0)))))</f>
        <v/>
      </c>
      <c r="L59" s="230"/>
      <c r="M59" s="230"/>
      <c r="N59" s="230"/>
      <c r="O59" s="212"/>
      <c r="P59" s="231" t="str">
        <f aca="false">IF($A59="NEWCOD",IF($AC59="","No",$AC59),IF(ISTEXT($E59),"DEJA SAISI !",IF($A59="","",IF(ISERROR(VLOOKUP($A59,'[1]liste reference'!A$1:S$1048576,19,FALSE())),IF(ISERROR(VLOOKUP($A59,'[1]liste reference'!B$1:S$1048576,19,FALSE())),"",VLOOKUP($A59,'[1]liste reference'!B$1:S$1048576,19,FALSE())),VLOOKUP($A59,'[1]liste reference'!A$1:S$1048576,19,FALSE())))))</f>
        <v/>
      </c>
      <c r="Q59" s="214" t="str">
        <f aca="false">IF(ISTEXT(H59),"",(B59*$B$7/100)+(C59*$C$7/100))</f>
        <v/>
      </c>
      <c r="R59" s="215" t="str">
        <f aca="false">IF(OR(ISTEXT(H59),Q59=0),"",IF(Q59&lt;0.1,1,IF(Q59&lt;1,2,IF(Q59&lt;10,3,IF(Q59&lt;50,4,IF(Q59&gt;=50,5,""))))))</f>
        <v/>
      </c>
      <c r="S59" s="215" t="n">
        <f aca="false">IF(ISERROR(R59*I59),0,R59*I59)</f>
        <v>0</v>
      </c>
      <c r="T59" s="215" t="n">
        <f aca="false">IF(ISERROR(R59*I59*J59),0,R59*I59*J59)</f>
        <v>0</v>
      </c>
      <c r="U59" s="226" t="n">
        <f aca="false">IF(ISERROR(R59*J59),0,R59*J59)</f>
        <v>0</v>
      </c>
      <c r="V59" s="216" t="str">
        <f aca="false">IF(AND(A59="",F59=0),"",IF(F59=0,"Il manque le(s) % de rec. !",""))</f>
        <v/>
      </c>
      <c r="W59" s="217"/>
      <c r="Y59" s="215" t="str">
        <f aca="false">IF(A59="new.cod","NEWCOD",IF(AND((Z59=""),ISTEXT(A59)),A59,IF(Z59="","",INDEX('[1]liste reference'!$A$8:$A$904,Z59))))</f>
        <v/>
      </c>
      <c r="Z59" s="9" t="str">
        <f aca="false">IF(ISERROR(MATCH(A59,'[1]liste reference'!$A$8:$A$904,0)),IF(ISERROR(MATCH(A59,'[1]liste reference'!$B$8:$B$904,0)),"",(MATCH(A59,'[1]liste reference'!$B$8:$B$904,0))),(MATCH(A59,'[1]liste reference'!$A$8:$A$904,0)))</f>
        <v/>
      </c>
      <c r="AA59" s="218"/>
      <c r="AB59" s="219"/>
      <c r="AC59" s="219"/>
      <c r="BB59" s="9" t="str">
        <f aca="false">IF(A59="","",1)</f>
        <v/>
      </c>
    </row>
    <row r="60" customFormat="false" ht="12.75" hidden="false" customHeight="false" outlineLevel="0" collapsed="false">
      <c r="A60" s="220"/>
      <c r="B60" s="221"/>
      <c r="C60" s="222"/>
      <c r="D60" s="205" t="str">
        <f aca="false">IF(ISERROR(VLOOKUP($A60,'[1]liste reference'!$A$7:$D$904,2,0)),IF(ISERROR(VLOOKUP($A60,'[1]liste reference'!$B$7:$D$904,1,0)),"",VLOOKUP($A60,'[1]liste reference'!$B$7:$D$904,1,0)),VLOOKUP($A60,'[1]liste reference'!$A$7:$D$904,2,0))</f>
        <v/>
      </c>
      <c r="E60" s="223" t="n">
        <f aca="false">IF(D60="",0,VLOOKUP(D60,D$22:D59,1,0))</f>
        <v>0</v>
      </c>
      <c r="F60" s="228" t="n">
        <f aca="false">($B60*$B$7+$C60*$C$7)/100</f>
        <v>0</v>
      </c>
      <c r="G60" s="207" t="str">
        <f aca="false">IF(A60="","",IF(ISERROR(VLOOKUP($A60,'[1]liste reference'!$A$7:$P$904,13,0)),IF(ISERROR(VLOOKUP($A60,'[1]liste reference'!$B$7:$P$904,12,0)),"    -",VLOOKUP($A60,'[1]liste reference'!$B$7:$P$904,12,0)),VLOOKUP($A60,'[1]liste reference'!$A$7:$P$904,13,0)))</f>
        <v/>
      </c>
      <c r="H60" s="208" t="str">
        <f aca="false">IF(A60="","x",IF(ISERROR(VLOOKUP($A60,'[1]liste reference'!$A$8:$P$904,14,0)),IF(ISERROR(VLOOKUP($A60,'[1]liste reference'!$B$8:$P$904,13,0)),"x",VLOOKUP($A60,'[1]liste reference'!$B$8:$P$904,13,0)),VLOOKUP($A60,'[1]liste reference'!$A$8:$P$904,14,0)))</f>
        <v>x</v>
      </c>
      <c r="I60" s="209" t="str">
        <f aca="false">IF(ISNUMBER(H60),IF(ISERROR(VLOOKUP($A60,'[1]liste reference'!$A$7:$P$904,3,0)),IF(ISERROR(VLOOKUP($A60,'[1]liste reference'!$B$7:$P$904,2,0)),"",VLOOKUP($A60,'[1]liste reference'!$B$7:$P$904,2,0)),VLOOKUP($A60,'[1]liste reference'!$A$7:$P$904,3,0)),"")</f>
        <v/>
      </c>
      <c r="J60" s="209" t="str">
        <f aca="false">IF(ISNUMBER(H60),IF(ISERROR(VLOOKUP($A60,'[1]liste reference'!$A$7:$P$904,4,0)),IF(ISERROR(VLOOKUP($A60,'[1]liste reference'!$B$7:$P$904,3,0)),"",VLOOKUP($A60,'[1]liste reference'!$B$7:$P$904,3,0)),VLOOKUP($A60,'[1]liste reference'!$A$7:$P$904,4,0)),"")</f>
        <v/>
      </c>
      <c r="K60" s="210" t="str">
        <f aca="false">IF(A60="NEWCOD",IF(AB60="","Remplir le champs 'Nouveau taxa' svp.",$AB60),IF(ISTEXT($E60),"DEJA SAISI !",IF(A60="","",IF(ISERROR(VLOOKUP($A60,'[1]liste reference'!$A$7:$D$904,2,0)),IF(ISERROR(VLOOKUP($A60,'[1]liste reference'!$B$7:$D$904,1,0)),"code non répertorié ou synonyme",VLOOKUP($A60,'[1]liste reference'!$B$7:$D$904,1,0)),VLOOKUP(A60,'[1]liste reference'!$A$7:$D$904,2,0)))))</f>
        <v/>
      </c>
      <c r="L60" s="230"/>
      <c r="M60" s="230"/>
      <c r="N60" s="230"/>
      <c r="O60" s="212"/>
      <c r="P60" s="231" t="str">
        <f aca="false">IF($A60="NEWCOD",IF($AC60="","No",$AC60),IF(ISTEXT($E60),"DEJA SAISI !",IF($A60="","",IF(ISERROR(VLOOKUP($A60,'[1]liste reference'!A$1:S$1048576,19,FALSE())),IF(ISERROR(VLOOKUP($A60,'[1]liste reference'!B$1:S$1048576,19,FALSE())),"",VLOOKUP($A60,'[1]liste reference'!B$1:S$1048576,19,FALSE())),VLOOKUP($A60,'[1]liste reference'!A$1:S$1048576,19,FALSE())))))</f>
        <v/>
      </c>
      <c r="Q60" s="214" t="str">
        <f aca="false">IF(ISTEXT(H60),"",(B60*$B$7/100)+(C60*$C$7/100))</f>
        <v/>
      </c>
      <c r="R60" s="215" t="str">
        <f aca="false">IF(OR(ISTEXT(H60),Q60=0),"",IF(Q60&lt;0.1,1,IF(Q60&lt;1,2,IF(Q60&lt;10,3,IF(Q60&lt;50,4,IF(Q60&gt;=50,5,""))))))</f>
        <v/>
      </c>
      <c r="S60" s="215" t="n">
        <f aca="false">IF(ISERROR(R60*I60),0,R60*I60)</f>
        <v>0</v>
      </c>
      <c r="T60" s="215" t="n">
        <f aca="false">IF(ISERROR(R60*I60*J60),0,R60*I60*J60)</f>
        <v>0</v>
      </c>
      <c r="U60" s="226" t="n">
        <f aca="false">IF(ISERROR(R60*J60),0,R60*J60)</f>
        <v>0</v>
      </c>
      <c r="V60" s="216" t="str">
        <f aca="false">IF(AND(A60="",F60=0),"",IF(F60=0,"Il manque le(s) % de rec. !",""))</f>
        <v/>
      </c>
      <c r="W60" s="217"/>
      <c r="Y60" s="215" t="str">
        <f aca="false">IF(A60="new.cod","NEWCOD",IF(AND((Z60=""),ISTEXT(A60)),A60,IF(Z60="","",INDEX('[1]liste reference'!$A$8:$A$904,Z60))))</f>
        <v/>
      </c>
      <c r="Z60" s="9" t="str">
        <f aca="false">IF(ISERROR(MATCH(A60,'[1]liste reference'!$A$8:$A$904,0)),IF(ISERROR(MATCH(A60,'[1]liste reference'!$B$8:$B$904,0)),"",(MATCH(A60,'[1]liste reference'!$B$8:$B$904,0))),(MATCH(A60,'[1]liste reference'!$A$8:$A$904,0)))</f>
        <v/>
      </c>
      <c r="AA60" s="218"/>
      <c r="AB60" s="219"/>
      <c r="AC60" s="219"/>
      <c r="BB60" s="9" t="str">
        <f aca="false">IF(A60="","",1)</f>
        <v/>
      </c>
    </row>
    <row r="61" customFormat="false" ht="12.75" hidden="false" customHeight="false" outlineLevel="0" collapsed="false">
      <c r="A61" s="220"/>
      <c r="B61" s="221"/>
      <c r="C61" s="222"/>
      <c r="D61" s="205" t="str">
        <f aca="false">IF(ISERROR(VLOOKUP($A61,'[1]liste reference'!$A$7:$D$904,2,0)),IF(ISERROR(VLOOKUP($A61,'[1]liste reference'!$B$7:$D$904,1,0)),"",VLOOKUP($A61,'[1]liste reference'!$B$7:$D$904,1,0)),VLOOKUP($A61,'[1]liste reference'!$A$7:$D$904,2,0))</f>
        <v/>
      </c>
      <c r="E61" s="223" t="n">
        <f aca="false">IF(D61="",0,VLOOKUP(D61,D$22:D60,1,0))</f>
        <v>0</v>
      </c>
      <c r="F61" s="228" t="n">
        <f aca="false">($B61*$B$7+$C61*$C$7)/100</f>
        <v>0</v>
      </c>
      <c r="G61" s="207" t="str">
        <f aca="false">IF(A61="","",IF(ISERROR(VLOOKUP($A61,'[1]liste reference'!$A$7:$P$904,13,0)),IF(ISERROR(VLOOKUP($A61,'[1]liste reference'!$B$7:$P$904,12,0)),"    -",VLOOKUP($A61,'[1]liste reference'!$B$7:$P$904,12,0)),VLOOKUP($A61,'[1]liste reference'!$A$7:$P$904,13,0)))</f>
        <v/>
      </c>
      <c r="H61" s="208" t="str">
        <f aca="false">IF(A61="","x",IF(ISERROR(VLOOKUP($A61,'[1]liste reference'!$A$8:$P$904,14,0)),IF(ISERROR(VLOOKUP($A61,'[1]liste reference'!$B$8:$P$904,13,0)),"x",VLOOKUP($A61,'[1]liste reference'!$B$8:$P$904,13,0)),VLOOKUP($A61,'[1]liste reference'!$A$8:$P$904,14,0)))</f>
        <v>x</v>
      </c>
      <c r="I61" s="209" t="str">
        <f aca="false">IF(ISNUMBER(H61),IF(ISERROR(VLOOKUP($A61,'[1]liste reference'!$A$7:$P$904,3,0)),IF(ISERROR(VLOOKUP($A61,'[1]liste reference'!$B$7:$P$904,2,0)),"",VLOOKUP($A61,'[1]liste reference'!$B$7:$P$904,2,0)),VLOOKUP($A61,'[1]liste reference'!$A$7:$P$904,3,0)),"")</f>
        <v/>
      </c>
      <c r="J61" s="209" t="str">
        <f aca="false">IF(ISNUMBER(H61),IF(ISERROR(VLOOKUP($A61,'[1]liste reference'!$A$7:$P$904,4,0)),IF(ISERROR(VLOOKUP($A61,'[1]liste reference'!$B$7:$P$904,3,0)),"",VLOOKUP($A61,'[1]liste reference'!$B$7:$P$904,3,0)),VLOOKUP($A61,'[1]liste reference'!$A$7:$P$904,4,0)),"")</f>
        <v/>
      </c>
      <c r="K61" s="210" t="str">
        <f aca="false">IF(A61="NEWCOD",IF(AB61="","Remplir le champs 'Nouveau taxa' svp.",$AB61),IF(ISTEXT($E61),"DEJA SAISI !",IF(A61="","",IF(ISERROR(VLOOKUP($A61,'[1]liste reference'!$A$7:$D$904,2,0)),IF(ISERROR(VLOOKUP($A61,'[1]liste reference'!$B$7:$D$904,1,0)),"code non répertorié ou synonyme",VLOOKUP($A61,'[1]liste reference'!$B$7:$D$904,1,0)),VLOOKUP(A61,'[1]liste reference'!$A$7:$D$904,2,0)))))</f>
        <v/>
      </c>
      <c r="L61" s="225"/>
      <c r="M61" s="225"/>
      <c r="N61" s="225"/>
      <c r="O61" s="212"/>
      <c r="P61" s="213" t="str">
        <f aca="false">IF($A61="NEWCOD",IF($AC61="","No",$AC61),IF(ISTEXT($E61),"DEJA SAISI !",IF($A61="","",IF(ISERROR(VLOOKUP($A61,'[1]liste reference'!A$1:S$1048576,19,FALSE())),IF(ISERROR(VLOOKUP($A61,'[1]liste reference'!B$1:S$1048576,19,FALSE())),"",VLOOKUP($A61,'[1]liste reference'!B$1:S$1048576,19,FALSE())),VLOOKUP($A61,'[1]liste reference'!A$1:S$1048576,19,FALSE())))))</f>
        <v/>
      </c>
      <c r="Q61" s="214" t="str">
        <f aca="false">IF(ISTEXT(H61),"",(B61*$B$7/100)+(C61*$C$7/100))</f>
        <v/>
      </c>
      <c r="R61" s="215" t="str">
        <f aca="false">IF(OR(ISTEXT(H61),Q61=0),"",IF(Q61&lt;0.1,1,IF(Q61&lt;1,2,IF(Q61&lt;10,3,IF(Q61&lt;50,4,IF(Q61&gt;=50,5,""))))))</f>
        <v/>
      </c>
      <c r="S61" s="215" t="n">
        <f aca="false">IF(ISERROR(R61*I61),0,R61*I61)</f>
        <v>0</v>
      </c>
      <c r="T61" s="215" t="n">
        <f aca="false">IF(ISERROR(R61*I61*J61),0,R61*I61*J61)</f>
        <v>0</v>
      </c>
      <c r="U61" s="226" t="n">
        <f aca="false">IF(ISERROR(R61*J61),0,R61*J61)</f>
        <v>0</v>
      </c>
      <c r="V61" s="216" t="str">
        <f aca="false">IF(AND(A61="",F61=0),"",IF(F61=0,"Il manque le(s) % de rec. !",""))</f>
        <v/>
      </c>
      <c r="W61" s="217"/>
      <c r="Y61" s="215" t="str">
        <f aca="false">IF(A61="new.cod","NEWCOD",IF(AND((Z61=""),ISTEXT(A61)),A61,IF(Z61="","",INDEX('[1]liste reference'!$A$8:$A$904,Z61))))</f>
        <v/>
      </c>
      <c r="Z61" s="9" t="str">
        <f aca="false">IF(ISERROR(MATCH(A61,'[1]liste reference'!$A$8:$A$904,0)),IF(ISERROR(MATCH(A61,'[1]liste reference'!$B$8:$B$904,0)),"",(MATCH(A61,'[1]liste reference'!$B$8:$B$904,0))),(MATCH(A61,'[1]liste reference'!$A$8:$A$904,0)))</f>
        <v/>
      </c>
      <c r="AA61" s="218"/>
      <c r="AB61" s="219"/>
      <c r="AC61" s="219"/>
      <c r="BB61" s="9" t="str">
        <f aca="false">IF(A61="","",1)</f>
        <v/>
      </c>
    </row>
    <row r="62" customFormat="false" ht="12.75" hidden="false" customHeight="false" outlineLevel="0" collapsed="false">
      <c r="A62" s="220"/>
      <c r="B62" s="221"/>
      <c r="C62" s="222"/>
      <c r="D62" s="205" t="str">
        <f aca="false">IF(ISERROR(VLOOKUP($A62,'[1]liste reference'!$A$7:$D$904,2,0)),IF(ISERROR(VLOOKUP($A62,'[1]liste reference'!$B$7:$D$904,1,0)),"",VLOOKUP($A62,'[1]liste reference'!$B$7:$D$904,1,0)),VLOOKUP($A62,'[1]liste reference'!$A$7:$D$904,2,0))</f>
        <v/>
      </c>
      <c r="E62" s="223" t="n">
        <f aca="false">IF(D62="",0,VLOOKUP(D62,D$22:D61,1,0))</f>
        <v>0</v>
      </c>
      <c r="F62" s="228" t="n">
        <f aca="false">($B62*$B$7+$C62*$C$7)/100</f>
        <v>0</v>
      </c>
      <c r="G62" s="207" t="str">
        <f aca="false">IF(A62="","",IF(ISERROR(VLOOKUP($A62,'[1]liste reference'!$A$7:$P$904,13,0)),IF(ISERROR(VLOOKUP($A62,'[1]liste reference'!$B$7:$P$904,12,0)),"    -",VLOOKUP($A62,'[1]liste reference'!$B$7:$P$904,12,0)),VLOOKUP($A62,'[1]liste reference'!$A$7:$P$904,13,0)))</f>
        <v/>
      </c>
      <c r="H62" s="208" t="str">
        <f aca="false">IF(A62="","x",IF(ISERROR(VLOOKUP($A62,'[1]liste reference'!$A$8:$P$904,14,0)),IF(ISERROR(VLOOKUP($A62,'[1]liste reference'!$B$8:$P$904,13,0)),"x",VLOOKUP($A62,'[1]liste reference'!$B$8:$P$904,13,0)),VLOOKUP($A62,'[1]liste reference'!$A$8:$P$904,14,0)))</f>
        <v>x</v>
      </c>
      <c r="I62" s="209" t="str">
        <f aca="false">IF(ISNUMBER(H62),IF(ISERROR(VLOOKUP($A62,'[1]liste reference'!$A$7:$P$904,3,0)),IF(ISERROR(VLOOKUP($A62,'[1]liste reference'!$B$7:$P$904,2,0)),"",VLOOKUP($A62,'[1]liste reference'!$B$7:$P$904,2,0)),VLOOKUP($A62,'[1]liste reference'!$A$7:$P$904,3,0)),"")</f>
        <v/>
      </c>
      <c r="J62" s="209" t="str">
        <f aca="false">IF(ISNUMBER(H62),IF(ISERROR(VLOOKUP($A62,'[1]liste reference'!$A$7:$P$904,4,0)),IF(ISERROR(VLOOKUP($A62,'[1]liste reference'!$B$7:$P$904,3,0)),"",VLOOKUP($A62,'[1]liste reference'!$B$7:$P$904,3,0)),VLOOKUP($A62,'[1]liste reference'!$A$7:$P$904,4,0)),"")</f>
        <v/>
      </c>
      <c r="K62" s="210" t="str">
        <f aca="false">IF(A62="NEWCOD",IF(AB62="","Remplir le champs 'Nouveau taxa' svp.",$AB62),IF(ISTEXT($E62),"DEJA SAISI !",IF(A62="","",IF(ISERROR(VLOOKUP($A62,'[1]liste reference'!$A$7:$D$904,2,0)),IF(ISERROR(VLOOKUP($A62,'[1]liste reference'!$B$7:$D$904,1,0)),"code non répertorié ou synonyme",VLOOKUP($A62,'[1]liste reference'!$B$7:$D$904,1,0)),VLOOKUP(A62,'[1]liste reference'!$A$7:$D$904,2,0)))))</f>
        <v/>
      </c>
      <c r="L62" s="225"/>
      <c r="M62" s="225"/>
      <c r="N62" s="225"/>
      <c r="O62" s="212"/>
      <c r="P62" s="213" t="str">
        <f aca="false">IF($A62="NEWCOD",IF($AC62="","No",$AC62),IF(ISTEXT($E62),"DEJA SAISI !",IF($A62="","",IF(ISERROR(VLOOKUP($A62,'[1]liste reference'!A$1:S$1048576,19,FALSE())),IF(ISERROR(VLOOKUP($A62,'[1]liste reference'!B$1:S$1048576,19,FALSE())),"",VLOOKUP($A62,'[1]liste reference'!B$1:S$1048576,19,FALSE())),VLOOKUP($A62,'[1]liste reference'!A$1:S$1048576,19,FALSE())))))</f>
        <v/>
      </c>
      <c r="Q62" s="214" t="str">
        <f aca="false">IF(ISTEXT(H62),"",(B62*$B$7/100)+(C62*$C$7/100))</f>
        <v/>
      </c>
      <c r="R62" s="215" t="str">
        <f aca="false">IF(OR(ISTEXT(H62),Q62=0),"",IF(Q62&lt;0.1,1,IF(Q62&lt;1,2,IF(Q62&lt;10,3,IF(Q62&lt;50,4,IF(Q62&gt;=50,5,""))))))</f>
        <v/>
      </c>
      <c r="S62" s="215" t="n">
        <f aca="false">IF(ISERROR(R62*I62),0,R62*I62)</f>
        <v>0</v>
      </c>
      <c r="T62" s="215" t="n">
        <f aca="false">IF(ISERROR(R62*I62*J62),0,R62*I62*J62)</f>
        <v>0</v>
      </c>
      <c r="U62" s="226" t="n">
        <f aca="false">IF(ISERROR(R62*J62),0,R62*J62)</f>
        <v>0</v>
      </c>
      <c r="V62" s="216" t="str">
        <f aca="false">IF(AND(A62="",F62=0),"",IF(F62=0,"Il manque le(s) % de rec. !",""))</f>
        <v/>
      </c>
      <c r="W62" s="217"/>
      <c r="X62" s="217"/>
      <c r="Y62" s="215" t="str">
        <f aca="false">IF(A62="new.cod","NEWCOD",IF(AND((Z62=""),ISTEXT(A62)),A62,IF(Z62="","",INDEX('[1]liste reference'!$A$8:$A$904,Z62))))</f>
        <v/>
      </c>
      <c r="Z62" s="9" t="str">
        <f aca="false">IF(ISERROR(MATCH(A62,'[1]liste reference'!$A$8:$A$904,0)),IF(ISERROR(MATCH(A62,'[1]liste reference'!$B$8:$B$904,0)),"",(MATCH(A62,'[1]liste reference'!$B$8:$B$904,0))),(MATCH(A62,'[1]liste reference'!$A$8:$A$904,0)))</f>
        <v/>
      </c>
      <c r="AA62" s="218"/>
      <c r="AB62" s="219"/>
      <c r="AC62" s="219"/>
      <c r="BB62" s="9" t="str">
        <f aca="false">IF(A62="","",1)</f>
        <v/>
      </c>
    </row>
    <row r="63" customFormat="false" ht="12.75" hidden="true" customHeight="false" outlineLevel="0" collapsed="false">
      <c r="A63" s="220"/>
      <c r="B63" s="221"/>
      <c r="C63" s="222"/>
      <c r="D63" s="205" t="str">
        <f aca="false">IF(ISERROR(VLOOKUP($A63,'[1]liste reference'!$A$7:$D$904,2,0)),IF(ISERROR(VLOOKUP($A63,'[1]liste reference'!$B$7:$D$904,1,0)),"",VLOOKUP($A63,'[1]liste reference'!$B$7:$D$904,1,0)),VLOOKUP($A63,'[1]liste reference'!$A$7:$D$904,2,0))</f>
        <v/>
      </c>
      <c r="E63" s="223" t="n">
        <f aca="false">IF(D63="",0,VLOOKUP(D63,D$22:D62,1,0))</f>
        <v>0</v>
      </c>
      <c r="F63" s="228" t="n">
        <f aca="false">($B63*$B$7+$C63*$C$7)/100</f>
        <v>0</v>
      </c>
      <c r="G63" s="232" t="str">
        <f aca="false">IF(A63="","",IF(ISERROR(VLOOKUP($A63,'[1]liste reference'!$A$7:$P$904,13,0)),IF(ISERROR(VLOOKUP($A63,'[1]liste reference'!$B$7:$P$904,12,0)),"    -",VLOOKUP($A63,'[1]liste reference'!$B$7:$P$904,12,0)),VLOOKUP($A63,'[1]liste reference'!$A$7:$P$904,13,0)))</f>
        <v/>
      </c>
      <c r="H63" s="233" t="str">
        <f aca="false">IF(A63="","x",IF(ISERROR(VLOOKUP($A63,'[1]liste reference'!$A$8:$P$904,14,0)),IF(ISERROR(VLOOKUP($A63,'[1]liste reference'!$B$8:$P$904,13,0)),"x",VLOOKUP($A63,'[1]liste reference'!$B$8:$P$904,13,0)),VLOOKUP($A63,'[1]liste reference'!$A$8:$P$904,14,0)))</f>
        <v>x</v>
      </c>
      <c r="I63" s="209" t="str">
        <f aca="false">IF(ISNUMBER(H63),IF(ISERROR(VLOOKUP($A63,'[1]liste reference'!$A$7:$P$904,3,0)),IF(ISERROR(VLOOKUP($A63,'[1]liste reference'!$B$7:$P$904,2,0)),"",VLOOKUP($A63,'[1]liste reference'!$B$7:$P$904,2,0)),VLOOKUP($A63,'[1]liste reference'!$A$7:$P$904,3,0)),"")</f>
        <v/>
      </c>
      <c r="J63" s="209" t="str">
        <f aca="false">IF(ISNUMBER(H63),IF(ISERROR(VLOOKUP($A63,'[1]liste reference'!$A$7:$P$904,4,0)),IF(ISERROR(VLOOKUP($A63,'[1]liste reference'!$B$7:$P$904,3,0)),"",VLOOKUP($A63,'[1]liste reference'!$B$7:$P$904,3,0)),VLOOKUP($A63,'[1]liste reference'!$A$7:$P$904,4,0)),"")</f>
        <v/>
      </c>
      <c r="K63" s="210" t="str">
        <f aca="false">IF(A63="NEWCOD",IF(AB63="","Remplir le champs 'Nouveau taxa' svp.",$AB63),IF(ISTEXT($E63),"DEJA SAISI !",IF(A63="","",IF(ISERROR(VLOOKUP($A63,'[1]liste reference'!$A$7:$D$904,2,0)),IF(ISERROR(VLOOKUP($A63,'[1]liste reference'!$B$7:$D$904,1,0)),"code non répertorié ou synonyme",VLOOKUP($A63,'[1]liste reference'!$B$7:$D$904,1,0)),VLOOKUP(A63,'[1]liste reference'!$A$7:$D$904,2,0)))))</f>
        <v/>
      </c>
      <c r="L63" s="225"/>
      <c r="M63" s="225"/>
      <c r="N63" s="225"/>
      <c r="O63" s="212"/>
      <c r="P63" s="213" t="str">
        <f aca="false">IF($A63="NEWCOD",IF($AC63="","No",$AC63),IF(ISTEXT($E63),"DEJA SAISI !",IF($A63="","",IF(ISERROR(VLOOKUP($A63,'[1]liste reference'!A$1:S$1048576,19,FALSE())),IF(ISERROR(VLOOKUP($A63,'[1]liste reference'!B$1:S$1048576,19,FALSE())),"",VLOOKUP($A63,'[1]liste reference'!B$1:S$1048576,19,FALSE())),VLOOKUP($A63,'[1]liste reference'!A$1:S$1048576,19,FALSE())))))</f>
        <v/>
      </c>
      <c r="Q63" s="214" t="str">
        <f aca="false">IF(ISTEXT(H63),"",(B63*$B$7/100)+(C63*$C$7/100))</f>
        <v/>
      </c>
      <c r="R63" s="215" t="str">
        <f aca="false">IF(OR(ISTEXT(H63),Q63=0),"",IF(Q63&lt;0.1,1,IF(Q63&lt;1,2,IF(Q63&lt;10,3,IF(Q63&lt;50,4,IF(Q63&gt;=50,5,""))))))</f>
        <v/>
      </c>
      <c r="S63" s="215" t="n">
        <f aca="false">IF(ISERROR(R63*I63),0,R63*I63)</f>
        <v>0</v>
      </c>
      <c r="T63" s="215" t="n">
        <f aca="false">IF(ISERROR(R63*I63*J63),0,R63*I63*J63)</f>
        <v>0</v>
      </c>
      <c r="U63" s="226" t="n">
        <f aca="false">IF(ISERROR(R63*J63),0,R63*J63)</f>
        <v>0</v>
      </c>
      <c r="V63" s="216" t="str">
        <f aca="false">IF(AND(A63="",F63=0),"",IF(F63=0,"Il manque le(s) % de rec. !",""))</f>
        <v/>
      </c>
      <c r="W63" s="217"/>
      <c r="Y63" s="215" t="str">
        <f aca="false">IF(A63="new.cod","NEWCOD",IF(AND((Z63=""),ISTEXT(A63)),A63,IF(Z63="","",INDEX('[1]liste reference'!$A$8:$A$904,Z63))))</f>
        <v/>
      </c>
      <c r="Z63" s="9" t="str">
        <f aca="false">IF(ISERROR(MATCH(A63,'[1]liste reference'!$A$8:$A$904,0)),IF(ISERROR(MATCH(A63,'[1]liste reference'!$B$8:$B$904,0)),"",(MATCH(A63,'[1]liste reference'!$B$8:$B$904,0))),(MATCH(A63,'[1]liste reference'!$A$8:$A$904,0)))</f>
        <v/>
      </c>
      <c r="AA63" s="218"/>
      <c r="AB63" s="219"/>
      <c r="AC63" s="219"/>
      <c r="BB63" s="9" t="str">
        <f aca="false">IF(A63="","",1)</f>
        <v/>
      </c>
    </row>
    <row r="64" customFormat="false" ht="12.75" hidden="true" customHeight="true" outlineLevel="0" collapsed="false">
      <c r="A64" s="220"/>
      <c r="B64" s="221"/>
      <c r="C64" s="222"/>
      <c r="D64" s="205" t="str">
        <f aca="false">IF(ISERROR(VLOOKUP($A64,'[1]liste reference'!$A$7:$D$904,2,0)),IF(ISERROR(VLOOKUP($A64,'[1]liste reference'!$B$7:$D$904,1,0)),"",VLOOKUP($A64,'[1]liste reference'!$B$7:$D$904,1,0)),VLOOKUP($A64,'[1]liste reference'!$A$7:$D$904,2,0))</f>
        <v/>
      </c>
      <c r="E64" s="223" t="n">
        <f aca="false">IF(D64="",0,VLOOKUP(D64,D$22:D52,1,0))</f>
        <v>0</v>
      </c>
      <c r="F64" s="228" t="n">
        <f aca="false">($B64*$B$7+$C64*$C$7)/100</f>
        <v>0</v>
      </c>
      <c r="G64" s="234" t="str">
        <f aca="false">IF(A64="","",IF(ISERROR(VLOOKUP($A64,'[1]liste reference'!$A$7:$P$904,13,0)),IF(ISERROR(VLOOKUP($A64,'[1]liste reference'!$B$7:$P$904,12,0)),"    -",VLOOKUP($A64,'[1]liste reference'!$B$7:$P$904,12,0)),VLOOKUP($A64,'[1]liste reference'!$A$7:$P$904,13,0)))</f>
        <v/>
      </c>
      <c r="H64" s="235" t="str">
        <f aca="false">IF(A64="","x",IF(ISERROR(VLOOKUP($A64,'[1]liste reference'!$A$8:$P$904,14,0)),IF(ISERROR(VLOOKUP($A64,'[1]liste reference'!$B$8:$P$904,13,0)),"x",VLOOKUP($A64,'[1]liste reference'!$B$8:$P$904,13,0)),VLOOKUP($A64,'[1]liste reference'!$A$8:$P$904,14,0)))</f>
        <v>x</v>
      </c>
      <c r="I64" s="209" t="str">
        <f aca="false">IF(ISNUMBER(H64),IF(ISERROR(VLOOKUP($A64,'[1]liste reference'!$A$7:$P$904,3,0)),IF(ISERROR(VLOOKUP($A64,'[1]liste reference'!$B$7:$P$904,2,0)),"",VLOOKUP($A64,'[1]liste reference'!$B$7:$P$904,2,0)),VLOOKUP($A64,'[1]liste reference'!$A$7:$P$904,3,0)),"")</f>
        <v/>
      </c>
      <c r="J64" s="209" t="str">
        <f aca="false">IF(ISNUMBER(H64),IF(ISERROR(VLOOKUP($A64,'[1]liste reference'!$A$7:$P$904,4,0)),IF(ISERROR(VLOOKUP($A64,'[1]liste reference'!$B$7:$P$904,3,0)),"",VLOOKUP($A64,'[1]liste reference'!$B$7:$P$904,3,0)),VLOOKUP($A64,'[1]liste reference'!$A$7:$P$904,4,0)),"")</f>
        <v/>
      </c>
      <c r="K64" s="210" t="str">
        <f aca="false">IF(A64="NEWCOD",IF(AB64="","Remplir le champs 'Nouveau taxa' svp.",$AB64),IF(ISTEXT($E64),"DEJA SAISI !",IF(A64="","",IF(ISERROR(VLOOKUP($A64,'[1]liste reference'!$A$7:$D$904,2,0)),IF(ISERROR(VLOOKUP($A64,'[1]liste reference'!$B$7:$D$904,1,0)),"code non répertorié ou synonyme",VLOOKUP($A64,'[1]liste reference'!$B$7:$D$904,1,0)),VLOOKUP(A64,'[1]liste reference'!$A$7:$D$904,2,0)))))</f>
        <v/>
      </c>
      <c r="L64" s="225"/>
      <c r="M64" s="225"/>
      <c r="N64" s="225"/>
      <c r="O64" s="212"/>
      <c r="P64" s="213" t="str">
        <f aca="false">IF($A64="NEWCOD",IF($AC64="","No",$AC64),IF(ISTEXT($E64),"DEJA SAISI !",IF($A64="","",IF(ISERROR(VLOOKUP($A64,'[1]liste reference'!A$1:S$1048576,19,FALSE())),IF(ISERROR(VLOOKUP($A64,'[1]liste reference'!B$1:S$1048576,19,FALSE())),"",VLOOKUP($A64,'[1]liste reference'!B$1:S$1048576,19,FALSE())),VLOOKUP($A64,'[1]liste reference'!A$1:S$1048576,19,FALSE())))))</f>
        <v/>
      </c>
      <c r="Q64" s="214" t="str">
        <f aca="false">IF(ISTEXT(H64),"",(B64*$B$7/100)+(C64*$C$7/100))</f>
        <v/>
      </c>
      <c r="R64" s="215" t="str">
        <f aca="false">IF(OR(ISTEXT(H64),Q64=0),"",IF(Q64&lt;0.1,1,IF(Q64&lt;1,2,IF(Q64&lt;10,3,IF(Q64&lt;50,4,IF(Q64&gt;=50,5,""))))))</f>
        <v/>
      </c>
      <c r="S64" s="215" t="n">
        <f aca="false">IF(ISERROR(R64*I64),0,R64*I64)</f>
        <v>0</v>
      </c>
      <c r="T64" s="215" t="n">
        <f aca="false">IF(ISERROR(R64*I64*J64),0,R64*I64*J64)</f>
        <v>0</v>
      </c>
      <c r="U64" s="226" t="n">
        <f aca="false">IF(ISERROR(R64*J64),0,R64*J64)</f>
        <v>0</v>
      </c>
      <c r="V64" s="216" t="str">
        <f aca="false">IF(AND(A64="",F64=0),"",IF(F64=0,"Il manque le(s) % de rec. !",""))</f>
        <v/>
      </c>
      <c r="W64" s="217"/>
      <c r="Y64" s="215" t="str">
        <f aca="false">IF(A64="new.cod","NEWCOD",IF(AND((Z64=""),ISTEXT(A64)),A64,IF(Z64="","",INDEX('[1]liste reference'!$A$8:$A$904,Z64))))</f>
        <v/>
      </c>
      <c r="Z64" s="9" t="str">
        <f aca="false">IF(ISERROR(MATCH(A64,'[1]liste reference'!$A$8:$A$904,0)),IF(ISERROR(MATCH(A64,'[1]liste reference'!$B$8:$B$904,0)),"",(MATCH(A64,'[1]liste reference'!$B$8:$B$904,0))),(MATCH(A64,'[1]liste reference'!$A$8:$A$904,0)))</f>
        <v/>
      </c>
      <c r="AA64" s="218"/>
      <c r="AB64" s="219"/>
      <c r="AC64" s="219"/>
      <c r="BB64" s="9" t="str">
        <f aca="false">IF(A64="","",1)</f>
        <v/>
      </c>
    </row>
    <row r="65" customFormat="false" ht="12.75" hidden="true" customHeight="false" outlineLevel="0" collapsed="false">
      <c r="A65" s="220"/>
      <c r="B65" s="221"/>
      <c r="C65" s="222"/>
      <c r="D65" s="205" t="str">
        <f aca="false">IF(ISERROR(VLOOKUP($A65,'[1]liste reference'!$A$7:$D$904,2,0)),IF(ISERROR(VLOOKUP($A65,'[1]liste reference'!$B$7:$D$904,1,0)),"",VLOOKUP($A65,'[1]liste reference'!$B$7:$D$904,1,0)),VLOOKUP($A65,'[1]liste reference'!$A$7:$D$904,2,0))</f>
        <v/>
      </c>
      <c r="E65" s="223" t="n">
        <f aca="false">IF(D65="",0,VLOOKUP(D65,D$22:D53,1,0))</f>
        <v>0</v>
      </c>
      <c r="F65" s="228" t="n">
        <f aca="false">($B65*$B$7+$C65*$C$7)/100</f>
        <v>0</v>
      </c>
      <c r="G65" s="234" t="str">
        <f aca="false">IF(A65="","",IF(ISERROR(VLOOKUP($A65,'[1]liste reference'!$A$7:$P$904,13,0)),IF(ISERROR(VLOOKUP($A65,'[1]liste reference'!$B$7:$P$904,12,0)),"    -",VLOOKUP($A65,'[1]liste reference'!$B$7:$P$904,12,0)),VLOOKUP($A65,'[1]liste reference'!$A$7:$P$904,13,0)))</f>
        <v/>
      </c>
      <c r="H65" s="235" t="str">
        <f aca="false">IF(A65="","x",IF(ISERROR(VLOOKUP($A65,'[1]liste reference'!$A$8:$P$904,14,0)),IF(ISERROR(VLOOKUP($A65,'[1]liste reference'!$B$8:$P$904,13,0)),"x",VLOOKUP($A65,'[1]liste reference'!$B$8:$P$904,13,0)),VLOOKUP($A65,'[1]liste reference'!$A$8:$P$904,14,0)))</f>
        <v>x</v>
      </c>
      <c r="I65" s="209" t="str">
        <f aca="false">IF(ISNUMBER(H65),IF(ISERROR(VLOOKUP($A65,'[1]liste reference'!$A$7:$P$904,3,0)),IF(ISERROR(VLOOKUP($A65,'[1]liste reference'!$B$7:$P$904,2,0)),"",VLOOKUP($A65,'[1]liste reference'!$B$7:$P$904,2,0)),VLOOKUP($A65,'[1]liste reference'!$A$7:$P$904,3,0)),"")</f>
        <v/>
      </c>
      <c r="J65" s="209" t="str">
        <f aca="false">IF(ISNUMBER(H65),IF(ISERROR(VLOOKUP($A65,'[1]liste reference'!$A$7:$P$904,4,0)),IF(ISERROR(VLOOKUP($A65,'[1]liste reference'!$B$7:$P$904,3,0)),"",VLOOKUP($A65,'[1]liste reference'!$B$7:$P$904,3,0)),VLOOKUP($A65,'[1]liste reference'!$A$7:$P$904,4,0)),"")</f>
        <v/>
      </c>
      <c r="K65" s="210" t="str">
        <f aca="false">IF(A65="NEWCOD",IF(AB65="","Remplir le champs 'Nouveau taxa' svp.",$AB65),IF(ISTEXT($E65),"DEJA SAISI !",IF(A65="","",IF(ISERROR(VLOOKUP($A65,'[1]liste reference'!$A$7:$D$904,2,0)),IF(ISERROR(VLOOKUP($A65,'[1]liste reference'!$B$7:$D$904,1,0)),"code non répertorié ou synonyme",VLOOKUP($A65,'[1]liste reference'!$B$7:$D$904,1,0)),VLOOKUP(A65,'[1]liste reference'!$A$7:$D$904,2,0)))))</f>
        <v/>
      </c>
      <c r="L65" s="225"/>
      <c r="M65" s="225"/>
      <c r="N65" s="225"/>
      <c r="O65" s="212"/>
      <c r="P65" s="213" t="str">
        <f aca="false">IF($A65="NEWCOD",IF($AC65="","No",$AC65),IF(ISTEXT($E65),"DEJA SAISI !",IF($A65="","",IF(ISERROR(VLOOKUP($A65,'[1]liste reference'!A$1:S$1048576,19,FALSE())),IF(ISERROR(VLOOKUP($A65,'[1]liste reference'!B$1:S$1048576,19,FALSE())),"",VLOOKUP($A65,'[1]liste reference'!B$1:S$1048576,19,FALSE())),VLOOKUP($A65,'[1]liste reference'!A$1:S$1048576,19,FALSE())))))</f>
        <v/>
      </c>
      <c r="Q65" s="214" t="str">
        <f aca="false">IF(ISTEXT(H65),"",(B65*$B$7/100)+(C65*$C$7/100))</f>
        <v/>
      </c>
      <c r="R65" s="215" t="str">
        <f aca="false">IF(OR(ISTEXT(H65),Q65=0),"",IF(Q65&lt;0.1,1,IF(Q65&lt;1,2,IF(Q65&lt;10,3,IF(Q65&lt;50,4,IF(Q65&gt;=50,5,""))))))</f>
        <v/>
      </c>
      <c r="S65" s="215" t="n">
        <f aca="false">IF(ISERROR(R65*I65),0,R65*I65)</f>
        <v>0</v>
      </c>
      <c r="T65" s="215" t="n">
        <f aca="false">IF(ISERROR(R65*I65*J65),0,R65*I65*J65)</f>
        <v>0</v>
      </c>
      <c r="U65" s="226" t="n">
        <f aca="false">IF(ISERROR(R65*J65),0,R65*J65)</f>
        <v>0</v>
      </c>
      <c r="V65" s="216" t="str">
        <f aca="false">IF(AND(A65="",F65=0),"",IF(F65=0,"Il manque le(s) % de rec. !",""))</f>
        <v/>
      </c>
      <c r="W65" s="217"/>
      <c r="Y65" s="215" t="str">
        <f aca="false">IF(A65="new.cod","NEWCOD",IF(AND((Z65=""),ISTEXT(A65)),A65,IF(Z65="","",INDEX('[1]liste reference'!$A$8:$A$904,Z65))))</f>
        <v/>
      </c>
      <c r="Z65" s="9" t="str">
        <f aca="false">IF(ISERROR(MATCH(A65,'[1]liste reference'!$A$8:$A$904,0)),IF(ISERROR(MATCH(A65,'[1]liste reference'!$B$8:$B$904,0)),"",(MATCH(A65,'[1]liste reference'!$B$8:$B$904,0))),(MATCH(A65,'[1]liste reference'!$A$8:$A$904,0)))</f>
        <v/>
      </c>
      <c r="AA65" s="218"/>
      <c r="AB65" s="219"/>
      <c r="AC65" s="219"/>
      <c r="BB65" s="9" t="str">
        <f aca="false">IF(A65="","",1)</f>
        <v/>
      </c>
    </row>
    <row r="66" customFormat="false" ht="12.75" hidden="true" customHeight="false" outlineLevel="0" collapsed="false">
      <c r="A66" s="220"/>
      <c r="B66" s="221"/>
      <c r="C66" s="222"/>
      <c r="D66" s="205" t="str">
        <f aca="false">IF(ISERROR(VLOOKUP($A66,'[1]liste reference'!$A$7:$D$904,2,0)),IF(ISERROR(VLOOKUP($A66,'[1]liste reference'!$B$7:$D$904,1,0)),"",VLOOKUP($A66,'[1]liste reference'!$B$7:$D$904,1,0)),VLOOKUP($A66,'[1]liste reference'!$A$7:$D$904,2,0))</f>
        <v/>
      </c>
      <c r="E66" s="223" t="n">
        <f aca="false">IF(D66="",0,VLOOKUP(D66,D$22:D51,1,0))</f>
        <v>0</v>
      </c>
      <c r="F66" s="228" t="n">
        <f aca="false">($B66*$B$7+$C66*$C$7)/100</f>
        <v>0</v>
      </c>
      <c r="G66" s="234" t="str">
        <f aca="false">IF(A66="","",IF(ISERROR(VLOOKUP($A66,'[1]liste reference'!$A$7:$P$904,13,0)),IF(ISERROR(VLOOKUP($A66,'[1]liste reference'!$B$7:$P$904,12,0)),"    -",VLOOKUP($A66,'[1]liste reference'!$B$7:$P$904,12,0)),VLOOKUP($A66,'[1]liste reference'!$A$7:$P$904,13,0)))</f>
        <v/>
      </c>
      <c r="H66" s="235" t="str">
        <f aca="false">IF(A66="","x",IF(ISERROR(VLOOKUP($A66,'[1]liste reference'!$A$8:$P$904,14,0)),IF(ISERROR(VLOOKUP($A66,'[1]liste reference'!$B$8:$P$904,13,0)),"x",VLOOKUP($A66,'[1]liste reference'!$B$8:$P$904,13,0)),VLOOKUP($A66,'[1]liste reference'!$A$8:$P$904,14,0)))</f>
        <v>x</v>
      </c>
      <c r="I66" s="209" t="str">
        <f aca="false">IF(ISNUMBER(H66),IF(ISERROR(VLOOKUP($A66,'[1]liste reference'!$A$7:$P$904,3,0)),IF(ISERROR(VLOOKUP($A66,'[1]liste reference'!$B$7:$P$904,2,0)),"",VLOOKUP($A66,'[1]liste reference'!$B$7:$P$904,2,0)),VLOOKUP($A66,'[1]liste reference'!$A$7:$P$904,3,0)),"")</f>
        <v/>
      </c>
      <c r="J66" s="209" t="str">
        <f aca="false">IF(ISNUMBER(H66),IF(ISERROR(VLOOKUP($A66,'[1]liste reference'!$A$7:$P$904,4,0)),IF(ISERROR(VLOOKUP($A66,'[1]liste reference'!$B$7:$P$904,3,0)),"",VLOOKUP($A66,'[1]liste reference'!$B$7:$P$904,3,0)),VLOOKUP($A66,'[1]liste reference'!$A$7:$P$904,4,0)),"")</f>
        <v/>
      </c>
      <c r="K66" s="210" t="str">
        <f aca="false">IF(A66="NEWCOD",IF(AB66="","Remplir le champs 'Nouveau taxa' svp.",$AB66),IF(ISTEXT($E66),"DEJA SAISI !",IF(A66="","",IF(ISERROR(VLOOKUP($A66,'[1]liste reference'!$A$7:$D$904,2,0)),IF(ISERROR(VLOOKUP($A66,'[1]liste reference'!$B$7:$D$904,1,0)),"code non répertorié ou synonyme",VLOOKUP($A66,'[1]liste reference'!$B$7:$D$904,1,0)),VLOOKUP(A66,'[1]liste reference'!$A$7:$D$904,2,0)))))</f>
        <v/>
      </c>
      <c r="L66" s="225"/>
      <c r="M66" s="225"/>
      <c r="N66" s="225"/>
      <c r="O66" s="212"/>
      <c r="P66" s="213" t="str">
        <f aca="false">IF($A66="NEWCOD",IF($AC66="","No",$AC66),IF(ISTEXT($E66),"DEJA SAISI !",IF($A66="","",IF(ISERROR(VLOOKUP($A66,'[1]liste reference'!A$1:S$1048576,19,FALSE())),IF(ISERROR(VLOOKUP($A66,'[1]liste reference'!B$1:S$1048576,19,FALSE())),"",VLOOKUP($A66,'[1]liste reference'!B$1:S$1048576,19,FALSE())),VLOOKUP($A66,'[1]liste reference'!A$1:S$1048576,19,FALSE())))))</f>
        <v/>
      </c>
      <c r="Q66" s="214" t="str">
        <f aca="false">IF(ISTEXT(H66),"",(B66*$B$7/100)+(C66*$C$7/100))</f>
        <v/>
      </c>
      <c r="R66" s="215" t="str">
        <f aca="false">IF(OR(ISTEXT(H66),Q66=0),"",IF(Q66&lt;0.1,1,IF(Q66&lt;1,2,IF(Q66&lt;10,3,IF(Q66&lt;50,4,IF(Q66&gt;=50,5,""))))))</f>
        <v/>
      </c>
      <c r="S66" s="215" t="n">
        <f aca="false">IF(ISERROR(R66*I66),0,R66*I66)</f>
        <v>0</v>
      </c>
      <c r="T66" s="215" t="n">
        <f aca="false">IF(ISERROR(R66*I66*J66),0,R66*I66*J66)</f>
        <v>0</v>
      </c>
      <c r="U66" s="226" t="n">
        <f aca="false">IF(ISERROR(R66*J66),0,R66*J66)</f>
        <v>0</v>
      </c>
      <c r="V66" s="216" t="str">
        <f aca="false">IF(AND(A66="",F66=0),"",IF(F66=0,"Il manque le(s) % de rec. !",""))</f>
        <v/>
      </c>
      <c r="W66" s="217"/>
      <c r="Y66" s="215" t="str">
        <f aca="false">IF(A66="new.cod","NEWCOD",IF(AND((Z66=""),ISTEXT(A66)),A66,IF(Z66="","",INDEX('[1]liste reference'!$A$8:$A$904,Z66))))</f>
        <v/>
      </c>
      <c r="Z66" s="9" t="str">
        <f aca="false">IF(ISERROR(MATCH(A66,'[1]liste reference'!$A$8:$A$904,0)),IF(ISERROR(MATCH(A66,'[1]liste reference'!$B$8:$B$904,0)),"",(MATCH(A66,'[1]liste reference'!$B$8:$B$904,0))),(MATCH(A66,'[1]liste reference'!$A$8:$A$904,0)))</f>
        <v/>
      </c>
      <c r="AA66" s="218"/>
      <c r="AB66" s="219"/>
      <c r="AC66" s="219"/>
      <c r="BB66" s="9" t="str">
        <f aca="false">IF(A66="","",1)</f>
        <v/>
      </c>
    </row>
    <row r="67" customFormat="false" ht="12.75" hidden="true" customHeight="false" outlineLevel="0" collapsed="false">
      <c r="A67" s="220"/>
      <c r="B67" s="221"/>
      <c r="C67" s="222"/>
      <c r="D67" s="205" t="str">
        <f aca="false">IF(ISERROR(VLOOKUP($A67,'[1]liste reference'!$A$7:$D$904,2,0)),IF(ISERROR(VLOOKUP($A67,'[1]liste reference'!$B$7:$D$904,1,0)),"",VLOOKUP($A67,'[1]liste reference'!$B$7:$D$904,1,0)),VLOOKUP($A67,'[1]liste reference'!$A$7:$D$904,2,0))</f>
        <v/>
      </c>
      <c r="E67" s="223" t="n">
        <f aca="false">IF(D67="",0,VLOOKUP(D67,D$22:D52,1,0))</f>
        <v>0</v>
      </c>
      <c r="F67" s="228" t="n">
        <f aca="false">($B67*$B$7+$C67*$C$7)/100</f>
        <v>0</v>
      </c>
      <c r="G67" s="234" t="str">
        <f aca="false">IF(A67="","",IF(ISERROR(VLOOKUP($A67,'[1]liste reference'!$A$7:$P$904,13,0)),IF(ISERROR(VLOOKUP($A67,'[1]liste reference'!$B$7:$P$904,12,0)),"    -",VLOOKUP($A67,'[1]liste reference'!$B$7:$P$904,12,0)),VLOOKUP($A67,'[1]liste reference'!$A$7:$P$904,13,0)))</f>
        <v/>
      </c>
      <c r="H67" s="235" t="str">
        <f aca="false">IF(A67="","x",IF(ISERROR(VLOOKUP($A67,'[1]liste reference'!$A$8:$P$904,14,0)),IF(ISERROR(VLOOKUP($A67,'[1]liste reference'!$B$8:$P$904,13,0)),"x",VLOOKUP($A67,'[1]liste reference'!$B$8:$P$904,13,0)),VLOOKUP($A67,'[1]liste reference'!$A$8:$P$904,14,0)))</f>
        <v>x</v>
      </c>
      <c r="I67" s="209" t="str">
        <f aca="false">IF(ISNUMBER(H67),IF(ISERROR(VLOOKUP($A67,'[1]liste reference'!$A$7:$P$904,3,0)),IF(ISERROR(VLOOKUP($A67,'[1]liste reference'!$B$7:$P$904,2,0)),"",VLOOKUP($A67,'[1]liste reference'!$B$7:$P$904,2,0)),VLOOKUP($A67,'[1]liste reference'!$A$7:$P$904,3,0)),"")</f>
        <v/>
      </c>
      <c r="J67" s="209" t="str">
        <f aca="false">IF(ISNUMBER(H67),IF(ISERROR(VLOOKUP($A67,'[1]liste reference'!$A$7:$P$904,4,0)),IF(ISERROR(VLOOKUP($A67,'[1]liste reference'!$B$7:$P$904,3,0)),"",VLOOKUP($A67,'[1]liste reference'!$B$7:$P$904,3,0)),VLOOKUP($A67,'[1]liste reference'!$A$7:$P$904,4,0)),"")</f>
        <v/>
      </c>
      <c r="K67" s="210" t="str">
        <f aca="false">IF(A67="NEWCOD",IF(AB67="","Remplir le champs 'Nouveau taxa' svp.",$AB67),IF(ISTEXT($E67),"DEJA SAISI !",IF(A67="","",IF(ISERROR(VLOOKUP($A67,'[1]liste reference'!$A$7:$D$904,2,0)),IF(ISERROR(VLOOKUP($A67,'[1]liste reference'!$B$7:$D$904,1,0)),"code non répertorié ou synonyme",VLOOKUP($A67,'[1]liste reference'!$B$7:$D$904,1,0)),VLOOKUP(A67,'[1]liste reference'!$A$7:$D$904,2,0)))))</f>
        <v/>
      </c>
      <c r="L67" s="225"/>
      <c r="M67" s="225"/>
      <c r="N67" s="225"/>
      <c r="O67" s="212"/>
      <c r="P67" s="213" t="str">
        <f aca="false">IF($A67="NEWCOD",IF($AC67="","No",$AC67),IF(ISTEXT($E67),"DEJA SAISI !",IF($A67="","",IF(ISERROR(VLOOKUP($A67,'[1]liste reference'!A$1:S$1048576,19,FALSE())),IF(ISERROR(VLOOKUP($A67,'[1]liste reference'!B$1:S$1048576,19,FALSE())),"",VLOOKUP($A67,'[1]liste reference'!B$1:S$1048576,19,FALSE())),VLOOKUP($A67,'[1]liste reference'!A$1:S$1048576,19,FALSE())))))</f>
        <v/>
      </c>
      <c r="Q67" s="214" t="str">
        <f aca="false">IF(ISTEXT(H67),"",(B67*$B$7/100)+(C67*$C$7/100))</f>
        <v/>
      </c>
      <c r="R67" s="215" t="str">
        <f aca="false">IF(OR(ISTEXT(H67),Q67=0),"",IF(Q67&lt;0.1,1,IF(Q67&lt;1,2,IF(Q67&lt;10,3,IF(Q67&lt;50,4,IF(Q67&gt;=50,5,""))))))</f>
        <v/>
      </c>
      <c r="S67" s="215" t="n">
        <f aca="false">IF(ISERROR(R67*I67),0,R67*I67)</f>
        <v>0</v>
      </c>
      <c r="T67" s="215" t="n">
        <f aca="false">IF(ISERROR(R67*I67*J67),0,R67*I67*J67)</f>
        <v>0</v>
      </c>
      <c r="U67" s="226" t="n">
        <f aca="false">IF(ISERROR(R67*J67),0,R67*J67)</f>
        <v>0</v>
      </c>
      <c r="V67" s="216" t="str">
        <f aca="false">IF(AND(A67="",F67=0),"",IF(F67=0,"Il manque le(s) % de rec. !",""))</f>
        <v/>
      </c>
      <c r="W67" s="217"/>
      <c r="Y67" s="215" t="str">
        <f aca="false">IF(A67="new.cod","NEWCOD",IF(AND((Z67=""),ISTEXT(A67)),A67,IF(Z67="","",INDEX('[1]liste reference'!$A$8:$A$904,Z67))))</f>
        <v/>
      </c>
      <c r="Z67" s="9" t="str">
        <f aca="false">IF(ISERROR(MATCH(A67,'[1]liste reference'!$A$8:$A$904,0)),IF(ISERROR(MATCH(A67,'[1]liste reference'!$B$8:$B$904,0)),"",(MATCH(A67,'[1]liste reference'!$B$8:$B$904,0))),(MATCH(A67,'[1]liste reference'!$A$8:$A$904,0)))</f>
        <v/>
      </c>
      <c r="AA67" s="218"/>
      <c r="AB67" s="219"/>
      <c r="AC67" s="219"/>
      <c r="BB67" s="9" t="str">
        <f aca="false">IF(A67="","",1)</f>
        <v/>
      </c>
    </row>
    <row r="68" customFormat="false" ht="12.75" hidden="true" customHeight="false" outlineLevel="0" collapsed="false">
      <c r="A68" s="220"/>
      <c r="B68" s="221"/>
      <c r="C68" s="222"/>
      <c r="D68" s="205" t="str">
        <f aca="false">IF(ISERROR(VLOOKUP($A68,'[1]liste reference'!$A$7:$D$904,2,0)),IF(ISERROR(VLOOKUP($A68,'[1]liste reference'!$B$7:$D$904,1,0)),"",VLOOKUP($A68,'[1]liste reference'!$B$7:$D$904,1,0)),VLOOKUP($A68,'[1]liste reference'!$A$7:$D$904,2,0))</f>
        <v/>
      </c>
      <c r="E68" s="223" t="n">
        <f aca="false">IF(D68="",0,VLOOKUP(D68,D$22:D53,1,0))</f>
        <v>0</v>
      </c>
      <c r="F68" s="228" t="n">
        <f aca="false">($B68*$B$7+$C68*$C$7)/100</f>
        <v>0</v>
      </c>
      <c r="G68" s="234" t="str">
        <f aca="false">IF(A68="","",IF(ISERROR(VLOOKUP($A68,'[1]liste reference'!$A$7:$P$904,13,0)),IF(ISERROR(VLOOKUP($A68,'[1]liste reference'!$B$7:$P$904,12,0)),"    -",VLOOKUP($A68,'[1]liste reference'!$B$7:$P$904,12,0)),VLOOKUP($A68,'[1]liste reference'!$A$7:$P$904,13,0)))</f>
        <v/>
      </c>
      <c r="H68" s="235" t="str">
        <f aca="false">IF(A68="","x",IF(ISERROR(VLOOKUP($A68,'[1]liste reference'!$A$8:$P$904,14,0)),IF(ISERROR(VLOOKUP($A68,'[1]liste reference'!$B$8:$P$904,13,0)),"x",VLOOKUP($A68,'[1]liste reference'!$B$8:$P$904,13,0)),VLOOKUP($A68,'[1]liste reference'!$A$8:$P$904,14,0)))</f>
        <v>x</v>
      </c>
      <c r="I68" s="209" t="str">
        <f aca="false">IF(ISNUMBER(H68),IF(ISERROR(VLOOKUP($A68,'[1]liste reference'!$A$7:$P$904,3,0)),IF(ISERROR(VLOOKUP($A68,'[1]liste reference'!$B$7:$P$904,2,0)),"",VLOOKUP($A68,'[1]liste reference'!$B$7:$P$904,2,0)),VLOOKUP($A68,'[1]liste reference'!$A$7:$P$904,3,0)),"")</f>
        <v/>
      </c>
      <c r="J68" s="209" t="str">
        <f aca="false">IF(ISNUMBER(H68),IF(ISERROR(VLOOKUP($A68,'[1]liste reference'!$A$7:$P$904,4,0)),IF(ISERROR(VLOOKUP($A68,'[1]liste reference'!$B$7:$P$904,3,0)),"",VLOOKUP($A68,'[1]liste reference'!$B$7:$P$904,3,0)),VLOOKUP($A68,'[1]liste reference'!$A$7:$P$904,4,0)),"")</f>
        <v/>
      </c>
      <c r="K68" s="210" t="str">
        <f aca="false">IF(A68="NEWCOD",IF(AB68="","Remplir le champs 'Nouveau taxa' svp.",$AB68),IF(ISTEXT($E68),"DEJA SAISI !",IF(A68="","",IF(ISERROR(VLOOKUP($A68,'[1]liste reference'!$A$7:$D$904,2,0)),IF(ISERROR(VLOOKUP($A68,'[1]liste reference'!$B$7:$D$904,1,0)),"code non répertorié ou synonyme",VLOOKUP($A68,'[1]liste reference'!$B$7:$D$904,1,0)),VLOOKUP(A68,'[1]liste reference'!$A$7:$D$904,2,0)))))</f>
        <v/>
      </c>
      <c r="L68" s="225"/>
      <c r="M68" s="225"/>
      <c r="N68" s="225"/>
      <c r="O68" s="212"/>
      <c r="P68" s="213" t="str">
        <f aca="false">IF($A68="NEWCOD",IF($AC68="","No",$AC68),IF(ISTEXT($E68),"DEJA SAISI !",IF($A68="","",IF(ISERROR(VLOOKUP($A68,'[1]liste reference'!A$1:S$1048576,19,FALSE())),IF(ISERROR(VLOOKUP($A68,'[1]liste reference'!B$1:S$1048576,19,FALSE())),"",VLOOKUP($A68,'[1]liste reference'!B$1:S$1048576,19,FALSE())),VLOOKUP($A68,'[1]liste reference'!A$1:S$1048576,19,FALSE())))))</f>
        <v/>
      </c>
      <c r="Q68" s="214" t="str">
        <f aca="false">IF(ISTEXT(H68),"",(B68*$B$7/100)+(C68*$C$7/100))</f>
        <v/>
      </c>
      <c r="R68" s="215" t="str">
        <f aca="false">IF(OR(ISTEXT(H68),Q68=0),"",IF(Q68&lt;0.1,1,IF(Q68&lt;1,2,IF(Q68&lt;10,3,IF(Q68&lt;50,4,IF(Q68&gt;=50,5,""))))))</f>
        <v/>
      </c>
      <c r="S68" s="215" t="n">
        <f aca="false">IF(ISERROR(R68*I68),0,R68*I68)</f>
        <v>0</v>
      </c>
      <c r="T68" s="215" t="n">
        <f aca="false">IF(ISERROR(R68*I68*J68),0,R68*I68*J68)</f>
        <v>0</v>
      </c>
      <c r="U68" s="226" t="n">
        <f aca="false">IF(ISERROR(R68*J68),0,R68*J68)</f>
        <v>0</v>
      </c>
      <c r="V68" s="216" t="str">
        <f aca="false">IF(AND(A68="",F68=0),"",IF(F68=0,"Il manque le(s) % de rec. !",""))</f>
        <v/>
      </c>
      <c r="W68" s="217"/>
      <c r="Y68" s="215" t="str">
        <f aca="false">IF(A68="new.cod","NEWCOD",IF(AND((Z68=""),ISTEXT(A68)),A68,IF(Z68="","",INDEX('[1]liste reference'!$A$8:$A$904,Z68))))</f>
        <v/>
      </c>
      <c r="Z68" s="9" t="str">
        <f aca="false">IF(ISERROR(MATCH(A68,'[1]liste reference'!$A$8:$A$904,0)),IF(ISERROR(MATCH(A68,'[1]liste reference'!$B$8:$B$904,0)),"",(MATCH(A68,'[1]liste reference'!$B$8:$B$904,0))),(MATCH(A68,'[1]liste reference'!$A$8:$A$904,0)))</f>
        <v/>
      </c>
      <c r="AA68" s="218"/>
      <c r="AB68" s="219"/>
      <c r="AC68" s="219"/>
      <c r="BB68" s="9" t="str">
        <f aca="false">IF(A68="","",1)</f>
        <v/>
      </c>
    </row>
    <row r="69" customFormat="false" ht="12.75" hidden="true" customHeight="false" outlineLevel="0" collapsed="false">
      <c r="A69" s="220"/>
      <c r="B69" s="221"/>
      <c r="C69" s="222"/>
      <c r="D69" s="205" t="str">
        <f aca="false">IF(ISERROR(VLOOKUP($A69,'[1]liste reference'!$A$7:$D$904,2,0)),IF(ISERROR(VLOOKUP($A69,'[1]liste reference'!$B$7:$D$904,1,0)),"",VLOOKUP($A69,'[1]liste reference'!$B$7:$D$904,1,0)),VLOOKUP($A69,'[1]liste reference'!$A$7:$D$904,2,0))</f>
        <v/>
      </c>
      <c r="E69" s="223" t="n">
        <f aca="false">IF(D69="",0,VLOOKUP(D69,D$22:D54,1,0))</f>
        <v>0</v>
      </c>
      <c r="F69" s="228" t="n">
        <f aca="false">($B69*$B$7+$C69*$C$7)/100</f>
        <v>0</v>
      </c>
      <c r="G69" s="234" t="str">
        <f aca="false">IF(A69="","",IF(ISERROR(VLOOKUP($A69,'[1]liste reference'!$A$7:$P$904,13,0)),IF(ISERROR(VLOOKUP($A69,'[1]liste reference'!$B$7:$P$904,12,0)),"    -",VLOOKUP($A69,'[1]liste reference'!$B$7:$P$904,12,0)),VLOOKUP($A69,'[1]liste reference'!$A$7:$P$904,13,0)))</f>
        <v/>
      </c>
      <c r="H69" s="235" t="str">
        <f aca="false">IF(A69="","x",IF(ISERROR(VLOOKUP($A69,'[1]liste reference'!$A$8:$P$904,14,0)),IF(ISERROR(VLOOKUP($A69,'[1]liste reference'!$B$8:$P$904,13,0)),"x",VLOOKUP($A69,'[1]liste reference'!$B$8:$P$904,13,0)),VLOOKUP($A69,'[1]liste reference'!$A$8:$P$904,14,0)))</f>
        <v>x</v>
      </c>
      <c r="I69" s="209" t="str">
        <f aca="false">IF(ISNUMBER(H69),IF(ISERROR(VLOOKUP($A69,'[1]liste reference'!$A$7:$P$904,3,0)),IF(ISERROR(VLOOKUP($A69,'[1]liste reference'!$B$7:$P$904,2,0)),"",VLOOKUP($A69,'[1]liste reference'!$B$7:$P$904,2,0)),VLOOKUP($A69,'[1]liste reference'!$A$7:$P$904,3,0)),"")</f>
        <v/>
      </c>
      <c r="J69" s="209" t="str">
        <f aca="false">IF(ISNUMBER(H69),IF(ISERROR(VLOOKUP($A69,'[1]liste reference'!$A$7:$P$904,4,0)),IF(ISERROR(VLOOKUP($A69,'[1]liste reference'!$B$7:$P$904,3,0)),"",VLOOKUP($A69,'[1]liste reference'!$B$7:$P$904,3,0)),VLOOKUP($A69,'[1]liste reference'!$A$7:$P$904,4,0)),"")</f>
        <v/>
      </c>
      <c r="K69" s="210" t="str">
        <f aca="false">IF(A69="NEWCOD",IF(AB69="","Remplir le champs 'Nouveau taxa' svp.",$AB69),IF(ISTEXT($E69),"DEJA SAISI !",IF(A69="","",IF(ISERROR(VLOOKUP($A69,'[1]liste reference'!$A$7:$D$904,2,0)),IF(ISERROR(VLOOKUP($A69,'[1]liste reference'!$B$7:$D$904,1,0)),"code non répertorié ou synonyme",VLOOKUP($A69,'[1]liste reference'!$B$7:$D$904,1,0)),VLOOKUP(A69,'[1]liste reference'!$A$7:$D$904,2,0)))))</f>
        <v/>
      </c>
      <c r="L69" s="225"/>
      <c r="M69" s="225"/>
      <c r="N69" s="225"/>
      <c r="O69" s="212"/>
      <c r="P69" s="213" t="str">
        <f aca="false">IF($A69="NEWCOD",IF($AC69="","No",$AC69),IF(ISTEXT($E69),"DEJA SAISI !",IF($A69="","",IF(ISERROR(VLOOKUP($A69,'[1]liste reference'!A$1:S$1048576,19,FALSE())),IF(ISERROR(VLOOKUP($A69,'[1]liste reference'!B$1:S$1048576,19,FALSE())),"",VLOOKUP($A69,'[1]liste reference'!B$1:S$1048576,19,FALSE())),VLOOKUP($A69,'[1]liste reference'!A$1:S$1048576,19,FALSE())))))</f>
        <v/>
      </c>
      <c r="Q69" s="214" t="str">
        <f aca="false">IF(ISTEXT(H69),"",(B69*$B$7/100)+(C69*$C$7/100))</f>
        <v/>
      </c>
      <c r="R69" s="215" t="str">
        <f aca="false">IF(OR(ISTEXT(H69),Q69=0),"",IF(Q69&lt;0.1,1,IF(Q69&lt;1,2,IF(Q69&lt;10,3,IF(Q69&lt;50,4,IF(Q69&gt;=50,5,""))))))</f>
        <v/>
      </c>
      <c r="S69" s="215" t="n">
        <f aca="false">IF(ISERROR(R69*I69),0,R69*I69)</f>
        <v>0</v>
      </c>
      <c r="T69" s="215" t="n">
        <f aca="false">IF(ISERROR(R69*I69*J69),0,R69*I69*J69)</f>
        <v>0</v>
      </c>
      <c r="U69" s="226" t="n">
        <f aca="false">IF(ISERROR(R69*J69),0,R69*J69)</f>
        <v>0</v>
      </c>
      <c r="V69" s="216" t="str">
        <f aca="false">IF(AND(A69="",F69=0),"",IF(F69=0,"Il manque le(s) % de rec. !",""))</f>
        <v/>
      </c>
      <c r="W69" s="217"/>
      <c r="Y69" s="215" t="str">
        <f aca="false">IF(A69="new.cod","NEWCOD",IF(AND((Z69=""),ISTEXT(A69)),A69,IF(Z69="","",INDEX('[1]liste reference'!$A$8:$A$904,Z69))))</f>
        <v/>
      </c>
      <c r="Z69" s="9" t="str">
        <f aca="false">IF(ISERROR(MATCH(A69,'[1]liste reference'!$A$8:$A$904,0)),IF(ISERROR(MATCH(A69,'[1]liste reference'!$B$8:$B$904,0)),"",(MATCH(A69,'[1]liste reference'!$B$8:$B$904,0))),(MATCH(A69,'[1]liste reference'!$A$8:$A$904,0)))</f>
        <v/>
      </c>
      <c r="AA69" s="218"/>
      <c r="AB69" s="219"/>
      <c r="AC69" s="219"/>
      <c r="BB69" s="9" t="str">
        <f aca="false">IF(A69="","",1)</f>
        <v/>
      </c>
    </row>
    <row r="70" customFormat="false" ht="12.75" hidden="true" customHeight="false" outlineLevel="0" collapsed="false">
      <c r="A70" s="220"/>
      <c r="B70" s="221"/>
      <c r="C70" s="222"/>
      <c r="D70" s="205" t="str">
        <f aca="false">IF(ISERROR(VLOOKUP($A70,'[1]liste reference'!$A$7:$D$904,2,0)),IF(ISERROR(VLOOKUP($A70,'[1]liste reference'!$B$7:$D$904,1,0)),"",VLOOKUP($A70,'[1]liste reference'!$B$7:$D$904,1,0)),VLOOKUP($A70,'[1]liste reference'!$A$7:$D$904,2,0))</f>
        <v/>
      </c>
      <c r="E70" s="223" t="n">
        <f aca="false">IF(D70="",0,VLOOKUP(D70,D$22:D55,1,0))</f>
        <v>0</v>
      </c>
      <c r="F70" s="228" t="n">
        <f aca="false">($B70*$B$7+$C70*$C$7)/100</f>
        <v>0</v>
      </c>
      <c r="G70" s="234" t="str">
        <f aca="false">IF(A70="","",IF(ISERROR(VLOOKUP($A70,'[1]liste reference'!$A$7:$P$904,13,0)),IF(ISERROR(VLOOKUP($A70,'[1]liste reference'!$B$7:$P$904,12,0)),"    -",VLOOKUP($A70,'[1]liste reference'!$B$7:$P$904,12,0)),VLOOKUP($A70,'[1]liste reference'!$A$7:$P$904,13,0)))</f>
        <v/>
      </c>
      <c r="H70" s="235" t="str">
        <f aca="false">IF(A70="","x",IF(ISERROR(VLOOKUP($A70,'[1]liste reference'!$A$8:$P$904,14,0)),IF(ISERROR(VLOOKUP($A70,'[1]liste reference'!$B$8:$P$904,13,0)),"x",VLOOKUP($A70,'[1]liste reference'!$B$8:$P$904,13,0)),VLOOKUP($A70,'[1]liste reference'!$A$8:$P$904,14,0)))</f>
        <v>x</v>
      </c>
      <c r="I70" s="209" t="str">
        <f aca="false">IF(ISNUMBER(H70),IF(ISERROR(VLOOKUP($A70,'[1]liste reference'!$A$7:$P$904,3,0)),IF(ISERROR(VLOOKUP($A70,'[1]liste reference'!$B$7:$P$904,2,0)),"",VLOOKUP($A70,'[1]liste reference'!$B$7:$P$904,2,0)),VLOOKUP($A70,'[1]liste reference'!$A$7:$P$904,3,0)),"")</f>
        <v/>
      </c>
      <c r="J70" s="209" t="str">
        <f aca="false">IF(ISNUMBER(H70),IF(ISERROR(VLOOKUP($A70,'[1]liste reference'!$A$7:$P$904,4,0)),IF(ISERROR(VLOOKUP($A70,'[1]liste reference'!$B$7:$P$904,3,0)),"",VLOOKUP($A70,'[1]liste reference'!$B$7:$P$904,3,0)),VLOOKUP($A70,'[1]liste reference'!$A$7:$P$904,4,0)),"")</f>
        <v/>
      </c>
      <c r="K70" s="210" t="str">
        <f aca="false">IF(A70="NEWCOD",IF(AB70="","Remplir le champs 'Nouveau taxa' svp.",$AB70),IF(ISTEXT($E70),"DEJA SAISI !",IF(A70="","",IF(ISERROR(VLOOKUP($A70,'[1]liste reference'!$A$7:$D$904,2,0)),IF(ISERROR(VLOOKUP($A70,'[1]liste reference'!$B$7:$D$904,1,0)),"code non répertorié ou synonyme",VLOOKUP($A70,'[1]liste reference'!$B$7:$D$904,1,0)),VLOOKUP(A70,'[1]liste reference'!$A$7:$D$904,2,0)))))</f>
        <v/>
      </c>
      <c r="L70" s="225"/>
      <c r="M70" s="225"/>
      <c r="N70" s="225"/>
      <c r="O70" s="212"/>
      <c r="P70" s="213" t="str">
        <f aca="false">IF($A70="NEWCOD",IF($AC70="","No",$AC70),IF(ISTEXT($E70),"DEJA SAISI !",IF($A70="","",IF(ISERROR(VLOOKUP($A70,'[1]liste reference'!A$1:S$1048576,19,FALSE())),IF(ISERROR(VLOOKUP($A70,'[1]liste reference'!B$1:S$1048576,19,FALSE())),"",VLOOKUP($A70,'[1]liste reference'!B$1:S$1048576,19,FALSE())),VLOOKUP($A70,'[1]liste reference'!A$1:S$1048576,19,FALSE())))))</f>
        <v/>
      </c>
      <c r="Q70" s="214" t="str">
        <f aca="false">IF(ISTEXT(H70),"",(B70*$B$7/100)+(C70*$C$7/100))</f>
        <v/>
      </c>
      <c r="R70" s="215" t="str">
        <f aca="false">IF(OR(ISTEXT(H70),Q70=0),"",IF(Q70&lt;0.1,1,IF(Q70&lt;1,2,IF(Q70&lt;10,3,IF(Q70&lt;50,4,IF(Q70&gt;=50,5,""))))))</f>
        <v/>
      </c>
      <c r="S70" s="215" t="n">
        <f aca="false">IF(ISERROR(R70*I70),0,R70*I70)</f>
        <v>0</v>
      </c>
      <c r="T70" s="215" t="n">
        <f aca="false">IF(ISERROR(R70*I70*J70),0,R70*I70*J70)</f>
        <v>0</v>
      </c>
      <c r="U70" s="226" t="n">
        <f aca="false">IF(ISERROR(R70*J70),0,R70*J70)</f>
        <v>0</v>
      </c>
      <c r="V70" s="216" t="str">
        <f aca="false">IF(AND(A70="",F70=0),"",IF(F70=0,"Il manque le(s) % de rec. !",""))</f>
        <v/>
      </c>
      <c r="W70" s="217"/>
      <c r="Y70" s="215" t="str">
        <f aca="false">IF(A70="new.cod","NEWCOD",IF(AND((Z70=""),ISTEXT(A70)),A70,IF(Z70="","",INDEX('[1]liste reference'!$A$8:$A$904,Z70))))</f>
        <v/>
      </c>
      <c r="Z70" s="9" t="str">
        <f aca="false">IF(ISERROR(MATCH(A70,'[1]liste reference'!$A$8:$A$904,0)),IF(ISERROR(MATCH(A70,'[1]liste reference'!$B$8:$B$904,0)),"",(MATCH(A70,'[1]liste reference'!$B$8:$B$904,0))),(MATCH(A70,'[1]liste reference'!$A$8:$A$904,0)))</f>
        <v/>
      </c>
      <c r="AA70" s="218"/>
      <c r="AB70" s="219"/>
      <c r="AC70" s="219"/>
      <c r="BB70" s="9" t="str">
        <f aca="false">IF(A70="","",1)</f>
        <v/>
      </c>
    </row>
    <row r="71" customFormat="false" ht="12.75" hidden="true" customHeight="false" outlineLevel="0" collapsed="false">
      <c r="A71" s="220"/>
      <c r="B71" s="221"/>
      <c r="C71" s="222"/>
      <c r="D71" s="205" t="str">
        <f aca="false">IF(ISERROR(VLOOKUP($A71,'[1]liste reference'!$A$7:$D$904,2,0)),IF(ISERROR(VLOOKUP($A71,'[1]liste reference'!$B$7:$D$904,1,0)),"",VLOOKUP($A71,'[1]liste reference'!$B$7:$D$904,1,0)),VLOOKUP($A71,'[1]liste reference'!$A$7:$D$904,2,0))</f>
        <v/>
      </c>
      <c r="E71" s="223" t="n">
        <f aca="false">IF(D71="",0,VLOOKUP(D71,D$22:D56,1,0))</f>
        <v>0</v>
      </c>
      <c r="F71" s="228" t="n">
        <f aca="false">($B71*$B$7+$C71*$C$7)/100</f>
        <v>0</v>
      </c>
      <c r="G71" s="234" t="str">
        <f aca="false">IF(A71="","",IF(ISERROR(VLOOKUP($A71,'[1]liste reference'!$A$7:$P$904,13,0)),IF(ISERROR(VLOOKUP($A71,'[1]liste reference'!$B$7:$P$904,12,0)),"    -",VLOOKUP($A71,'[1]liste reference'!$B$7:$P$904,12,0)),VLOOKUP($A71,'[1]liste reference'!$A$7:$P$904,13,0)))</f>
        <v/>
      </c>
      <c r="H71" s="235" t="str">
        <f aca="false">IF(A71="","x",IF(ISERROR(VLOOKUP($A71,'[1]liste reference'!$A$8:$P$904,14,0)),IF(ISERROR(VLOOKUP($A71,'[1]liste reference'!$B$8:$P$904,13,0)),"x",VLOOKUP($A71,'[1]liste reference'!$B$8:$P$904,13,0)),VLOOKUP($A71,'[1]liste reference'!$A$8:$P$904,14,0)))</f>
        <v>x</v>
      </c>
      <c r="I71" s="209" t="str">
        <f aca="false">IF(ISNUMBER(H71),IF(ISERROR(VLOOKUP($A71,'[1]liste reference'!$A$7:$P$904,3,0)),IF(ISERROR(VLOOKUP($A71,'[1]liste reference'!$B$7:$P$904,2,0)),"",VLOOKUP($A71,'[1]liste reference'!$B$7:$P$904,2,0)),VLOOKUP($A71,'[1]liste reference'!$A$7:$P$904,3,0)),"")</f>
        <v/>
      </c>
      <c r="J71" s="209" t="str">
        <f aca="false">IF(ISNUMBER(H71),IF(ISERROR(VLOOKUP($A71,'[1]liste reference'!$A$7:$P$904,4,0)),IF(ISERROR(VLOOKUP($A71,'[1]liste reference'!$B$7:$P$904,3,0)),"",VLOOKUP($A71,'[1]liste reference'!$B$7:$P$904,3,0)),VLOOKUP($A71,'[1]liste reference'!$A$7:$P$904,4,0)),"")</f>
        <v/>
      </c>
      <c r="K71" s="210" t="str">
        <f aca="false">IF(A71="NEWCOD",IF(AB71="","Remplir le champs 'Nouveau taxa' svp.",$AB71),IF(ISTEXT($E71),"DEJA SAISI !",IF(A71="","",IF(ISERROR(VLOOKUP($A71,'[1]liste reference'!$A$7:$D$904,2,0)),IF(ISERROR(VLOOKUP($A71,'[1]liste reference'!$B$7:$D$904,1,0)),"code non répertorié ou synonyme",VLOOKUP($A71,'[1]liste reference'!$B$7:$D$904,1,0)),VLOOKUP(A71,'[1]liste reference'!$A$7:$D$904,2,0)))))</f>
        <v/>
      </c>
      <c r="L71" s="225"/>
      <c r="M71" s="225"/>
      <c r="N71" s="225"/>
      <c r="O71" s="212"/>
      <c r="P71" s="213" t="str">
        <f aca="false">IF($A71="NEWCOD",IF($AC71="","No",$AC71),IF(ISTEXT($E71),"DEJA SAISI !",IF($A71="","",IF(ISERROR(VLOOKUP($A71,'[1]liste reference'!A$1:S$1048576,19,FALSE())),IF(ISERROR(VLOOKUP($A71,'[1]liste reference'!B$1:S$1048576,19,FALSE())),"",VLOOKUP($A71,'[1]liste reference'!B$1:S$1048576,19,FALSE())),VLOOKUP($A71,'[1]liste reference'!A$1:S$1048576,19,FALSE())))))</f>
        <v/>
      </c>
      <c r="Q71" s="214" t="str">
        <f aca="false">IF(ISTEXT(H71),"",(B71*$B$7/100)+(C71*$C$7/100))</f>
        <v/>
      </c>
      <c r="R71" s="215" t="str">
        <f aca="false">IF(OR(ISTEXT(H71),Q71=0),"",IF(Q71&lt;0.1,1,IF(Q71&lt;1,2,IF(Q71&lt;10,3,IF(Q71&lt;50,4,IF(Q71&gt;=50,5,""))))))</f>
        <v/>
      </c>
      <c r="S71" s="215" t="n">
        <f aca="false">IF(ISERROR(R71*I71),0,R71*I71)</f>
        <v>0</v>
      </c>
      <c r="T71" s="215" t="n">
        <f aca="false">IF(ISERROR(R71*I71*J71),0,R71*I71*J71)</f>
        <v>0</v>
      </c>
      <c r="U71" s="226" t="n">
        <f aca="false">IF(ISERROR(R71*J71),0,R71*J71)</f>
        <v>0</v>
      </c>
      <c r="V71" s="216" t="str">
        <f aca="false">IF(AND(A71="",F71=0),"",IF(F71=0,"Il manque le(s) % de rec. !",""))</f>
        <v/>
      </c>
      <c r="W71" s="217"/>
      <c r="Y71" s="215" t="str">
        <f aca="false">IF(A71="new.cod","NEWCOD",IF(AND((Z71=""),ISTEXT(A71)),A71,IF(Z71="","",INDEX('[1]liste reference'!$A$8:$A$904,Z71))))</f>
        <v/>
      </c>
      <c r="Z71" s="9" t="str">
        <f aca="false">IF(ISERROR(MATCH(A71,'[1]liste reference'!$A$8:$A$904,0)),IF(ISERROR(MATCH(A71,'[1]liste reference'!$B$8:$B$904,0)),"",(MATCH(A71,'[1]liste reference'!$B$8:$B$904,0))),(MATCH(A71,'[1]liste reference'!$A$8:$A$904,0)))</f>
        <v/>
      </c>
      <c r="AA71" s="218"/>
      <c r="AB71" s="219"/>
      <c r="AC71" s="219"/>
      <c r="BB71" s="9" t="str">
        <f aca="false">IF(A71="","",1)</f>
        <v/>
      </c>
    </row>
    <row r="72" customFormat="false" ht="12.75" hidden="true" customHeight="false" outlineLevel="0" collapsed="false">
      <c r="A72" s="220"/>
      <c r="B72" s="221"/>
      <c r="C72" s="222"/>
      <c r="D72" s="205" t="str">
        <f aca="false">IF(ISERROR(VLOOKUP($A72,'[1]liste reference'!$A$7:$D$904,2,0)),IF(ISERROR(VLOOKUP($A72,'[1]liste reference'!$B$7:$D$904,1,0)),"",VLOOKUP($A72,'[1]liste reference'!$B$7:$D$904,1,0)),VLOOKUP($A72,'[1]liste reference'!$A$7:$D$904,2,0))</f>
        <v/>
      </c>
      <c r="E72" s="223" t="n">
        <f aca="false">IF(D72="",0,VLOOKUP(D72,D$22:D57,1,0))</f>
        <v>0</v>
      </c>
      <c r="F72" s="228" t="n">
        <f aca="false">($B72*$B$7+$C72*$C$7)/100</f>
        <v>0</v>
      </c>
      <c r="G72" s="234" t="str">
        <f aca="false">IF(A72="","",IF(ISERROR(VLOOKUP($A72,'[1]liste reference'!$A$7:$P$904,13,0)),IF(ISERROR(VLOOKUP($A72,'[1]liste reference'!$B$7:$P$904,12,0)),"    -",VLOOKUP($A72,'[1]liste reference'!$B$7:$P$904,12,0)),VLOOKUP($A72,'[1]liste reference'!$A$7:$P$904,13,0)))</f>
        <v/>
      </c>
      <c r="H72" s="235" t="str">
        <f aca="false">IF(A72="","x",IF(ISERROR(VLOOKUP($A72,'[1]liste reference'!$A$8:$P$904,14,0)),IF(ISERROR(VLOOKUP($A72,'[1]liste reference'!$B$8:$P$904,13,0)),"x",VLOOKUP($A72,'[1]liste reference'!$B$8:$P$904,13,0)),VLOOKUP($A72,'[1]liste reference'!$A$8:$P$904,14,0)))</f>
        <v>x</v>
      </c>
      <c r="I72" s="209" t="str">
        <f aca="false">IF(ISNUMBER(H72),IF(ISERROR(VLOOKUP($A72,'[1]liste reference'!$A$7:$P$904,3,0)),IF(ISERROR(VLOOKUP($A72,'[1]liste reference'!$B$7:$P$904,2,0)),"",VLOOKUP($A72,'[1]liste reference'!$B$7:$P$904,2,0)),VLOOKUP($A72,'[1]liste reference'!$A$7:$P$904,3,0)),"")</f>
        <v/>
      </c>
      <c r="J72" s="209" t="str">
        <f aca="false">IF(ISNUMBER(H72),IF(ISERROR(VLOOKUP($A72,'[1]liste reference'!$A$7:$P$904,4,0)),IF(ISERROR(VLOOKUP($A72,'[1]liste reference'!$B$7:$P$904,3,0)),"",VLOOKUP($A72,'[1]liste reference'!$B$7:$P$904,3,0)),VLOOKUP($A72,'[1]liste reference'!$A$7:$P$904,4,0)),"")</f>
        <v/>
      </c>
      <c r="K72" s="210" t="str">
        <f aca="false">IF(A72="NEWCOD",IF(AB72="","Remplir le champs 'Nouveau taxa' svp.",$AB72),IF(ISTEXT($E72),"DEJA SAISI !",IF(A72="","",IF(ISERROR(VLOOKUP($A72,'[1]liste reference'!$A$7:$D$904,2,0)),IF(ISERROR(VLOOKUP($A72,'[1]liste reference'!$B$7:$D$904,1,0)),"code non répertorié ou synonyme",VLOOKUP($A72,'[1]liste reference'!$B$7:$D$904,1,0)),VLOOKUP(A72,'[1]liste reference'!$A$7:$D$904,2,0)))))</f>
        <v/>
      </c>
      <c r="L72" s="225"/>
      <c r="M72" s="225"/>
      <c r="N72" s="225"/>
      <c r="O72" s="212"/>
      <c r="P72" s="213" t="str">
        <f aca="false">IF($A72="NEWCOD",IF($AC72="","No",$AC72),IF(ISTEXT($E72),"DEJA SAISI !",IF($A72="","",IF(ISERROR(VLOOKUP($A72,'[1]liste reference'!A$1:S$1048576,19,FALSE())),IF(ISERROR(VLOOKUP($A72,'[1]liste reference'!B$1:S$1048576,19,FALSE())),"",VLOOKUP($A72,'[1]liste reference'!B$1:S$1048576,19,FALSE())),VLOOKUP($A72,'[1]liste reference'!A$1:S$1048576,19,FALSE())))))</f>
        <v/>
      </c>
      <c r="Q72" s="214" t="str">
        <f aca="false">IF(ISTEXT(H72),"",(B72*$B$7/100)+(C72*$C$7/100))</f>
        <v/>
      </c>
      <c r="R72" s="215" t="str">
        <f aca="false">IF(OR(ISTEXT(H72),Q72=0),"",IF(Q72&lt;0.1,1,IF(Q72&lt;1,2,IF(Q72&lt;10,3,IF(Q72&lt;50,4,IF(Q72&gt;=50,5,""))))))</f>
        <v/>
      </c>
      <c r="S72" s="215" t="n">
        <f aca="false">IF(ISERROR(R72*I72),0,R72*I72)</f>
        <v>0</v>
      </c>
      <c r="T72" s="215" t="n">
        <f aca="false">IF(ISERROR(R72*I72*J72),0,R72*I72*J72)</f>
        <v>0</v>
      </c>
      <c r="U72" s="226" t="n">
        <f aca="false">IF(ISERROR(R72*J72),0,R72*J72)</f>
        <v>0</v>
      </c>
      <c r="V72" s="216" t="str">
        <f aca="false">IF(AND(A72="",F72=0),"",IF(F72=0,"Il manque le(s) % de rec. !",""))</f>
        <v/>
      </c>
      <c r="W72" s="217"/>
      <c r="Y72" s="215" t="str">
        <f aca="false">IF(A72="new.cod","NEWCOD",IF(AND((Z72=""),ISTEXT(A72)),A72,IF(Z72="","",INDEX('[1]liste reference'!$A$8:$A$904,Z72))))</f>
        <v/>
      </c>
      <c r="Z72" s="9" t="str">
        <f aca="false">IF(ISERROR(MATCH(A72,'[1]liste reference'!$A$8:$A$904,0)),IF(ISERROR(MATCH(A72,'[1]liste reference'!$B$8:$B$904,0)),"",(MATCH(A72,'[1]liste reference'!$B$8:$B$904,0))),(MATCH(A72,'[1]liste reference'!$A$8:$A$904,0)))</f>
        <v/>
      </c>
      <c r="AA72" s="218"/>
      <c r="AB72" s="219"/>
      <c r="AC72" s="219"/>
      <c r="BB72" s="9" t="str">
        <f aca="false">IF(A72="","",1)</f>
        <v/>
      </c>
    </row>
    <row r="73" customFormat="false" ht="12.75" hidden="true" customHeight="false" outlineLevel="0" collapsed="false">
      <c r="A73" s="220"/>
      <c r="B73" s="221"/>
      <c r="C73" s="222"/>
      <c r="D73" s="205" t="str">
        <f aca="false">IF(ISERROR(VLOOKUP($A73,'[1]liste reference'!$A$7:$D$904,2,0)),IF(ISERROR(VLOOKUP($A73,'[1]liste reference'!$B$7:$D$904,1,0)),"",VLOOKUP($A73,'[1]liste reference'!$B$7:$D$904,1,0)),VLOOKUP($A73,'[1]liste reference'!$A$7:$D$904,2,0))</f>
        <v/>
      </c>
      <c r="E73" s="223" t="n">
        <f aca="false">IF(D73="",0,VLOOKUP(D73,D$22:D57,1,0))</f>
        <v>0</v>
      </c>
      <c r="F73" s="228" t="n">
        <f aca="false">($B73*$B$7+$C73*$C$7)/100</f>
        <v>0</v>
      </c>
      <c r="G73" s="234" t="str">
        <f aca="false">IF(A73="","",IF(ISERROR(VLOOKUP($A73,'[1]liste reference'!$A$7:$P$904,13,0)),IF(ISERROR(VLOOKUP($A73,'[1]liste reference'!$B$7:$P$904,12,0)),"    -",VLOOKUP($A73,'[1]liste reference'!$B$7:$P$904,12,0)),VLOOKUP($A73,'[1]liste reference'!$A$7:$P$904,13,0)))</f>
        <v/>
      </c>
      <c r="H73" s="235" t="str">
        <f aca="false">IF(A73="","x",IF(ISERROR(VLOOKUP($A73,'[1]liste reference'!$A$8:$P$904,14,0)),IF(ISERROR(VLOOKUP($A73,'[1]liste reference'!$B$8:$P$904,13,0)),"x",VLOOKUP($A73,'[1]liste reference'!$B$8:$P$904,13,0)),VLOOKUP($A73,'[1]liste reference'!$A$8:$P$904,14,0)))</f>
        <v>x</v>
      </c>
      <c r="I73" s="209" t="str">
        <f aca="false">IF(ISNUMBER(H73),IF(ISERROR(VLOOKUP($A73,'[1]liste reference'!$A$7:$P$904,3,0)),IF(ISERROR(VLOOKUP($A73,'[1]liste reference'!$B$7:$P$904,2,0)),"",VLOOKUP($A73,'[1]liste reference'!$B$7:$P$904,2,0)),VLOOKUP($A73,'[1]liste reference'!$A$7:$P$904,3,0)),"")</f>
        <v/>
      </c>
      <c r="J73" s="209" t="str">
        <f aca="false">IF(ISNUMBER(H73),IF(ISERROR(VLOOKUP($A73,'[1]liste reference'!$A$7:$P$904,4,0)),IF(ISERROR(VLOOKUP($A73,'[1]liste reference'!$B$7:$P$904,3,0)),"",VLOOKUP($A73,'[1]liste reference'!$B$7:$P$904,3,0)),VLOOKUP($A73,'[1]liste reference'!$A$7:$P$904,4,0)),"")</f>
        <v/>
      </c>
      <c r="K73" s="210" t="str">
        <f aca="false">IF(A73="NEWCOD",IF(AB73="","Remplir le champs 'Nouveau taxa' svp.",$AB73),IF(ISTEXT($E73),"DEJA SAISI !",IF(A73="","",IF(ISERROR(VLOOKUP($A73,'[1]liste reference'!$A$7:$D$904,2,0)),IF(ISERROR(VLOOKUP($A73,'[1]liste reference'!$B$7:$D$904,1,0)),"code non répertorié ou synonyme",VLOOKUP($A73,'[1]liste reference'!$B$7:$D$904,1,0)),VLOOKUP(A73,'[1]liste reference'!$A$7:$D$904,2,0)))))</f>
        <v/>
      </c>
      <c r="L73" s="225"/>
      <c r="M73" s="225"/>
      <c r="N73" s="225"/>
      <c r="O73" s="212"/>
      <c r="P73" s="213" t="str">
        <f aca="false">IF($A73="NEWCOD",IF($AC73="","No",$AC73),IF(ISTEXT($E73),"DEJA SAISI !",IF($A73="","",IF(ISERROR(VLOOKUP($A73,'[1]liste reference'!A$1:S$1048576,19,FALSE())),IF(ISERROR(VLOOKUP($A73,'[1]liste reference'!B$1:S$1048576,19,FALSE())),"",VLOOKUP($A73,'[1]liste reference'!B$1:S$1048576,19,FALSE())),VLOOKUP($A73,'[1]liste reference'!A$1:S$1048576,19,FALSE())))))</f>
        <v/>
      </c>
      <c r="Q73" s="214" t="str">
        <f aca="false">IF(ISTEXT(H73),"",(B73*$B$7/100)+(C73*$C$7/100))</f>
        <v/>
      </c>
      <c r="R73" s="215" t="str">
        <f aca="false">IF(OR(ISTEXT(H73),Q73=0),"",IF(Q73&lt;0.1,1,IF(Q73&lt;1,2,IF(Q73&lt;10,3,IF(Q73&lt;50,4,IF(Q73&gt;=50,5,""))))))</f>
        <v/>
      </c>
      <c r="S73" s="215" t="n">
        <f aca="false">IF(ISERROR(R73*I73),0,R73*I73)</f>
        <v>0</v>
      </c>
      <c r="T73" s="215" t="n">
        <f aca="false">IF(ISERROR(R73*I73*J73),0,R73*I73*J73)</f>
        <v>0</v>
      </c>
      <c r="U73" s="226" t="n">
        <f aca="false">IF(ISERROR(R73*J73),0,R73*J73)</f>
        <v>0</v>
      </c>
      <c r="V73" s="216" t="str">
        <f aca="false">IF(AND(A73="",F73=0),"",IF(F73=0,"Il manque le(s) % de rec. !",""))</f>
        <v/>
      </c>
      <c r="W73" s="217"/>
      <c r="Y73" s="215" t="str">
        <f aca="false">IF(A73="new.cod","NEWCOD",IF(AND((Z73=""),ISTEXT(A73)),A73,IF(Z73="","",INDEX('[1]liste reference'!$A$8:$A$904,Z73))))</f>
        <v/>
      </c>
      <c r="Z73" s="9" t="str">
        <f aca="false">IF(ISERROR(MATCH(A73,'[1]liste reference'!$A$8:$A$904,0)),IF(ISERROR(MATCH(A73,'[1]liste reference'!$B$8:$B$904,0)),"",(MATCH(A73,'[1]liste reference'!$B$8:$B$904,0))),(MATCH(A73,'[1]liste reference'!$A$8:$A$904,0)))</f>
        <v/>
      </c>
      <c r="AA73" s="218"/>
      <c r="AB73" s="219"/>
      <c r="AC73" s="219"/>
      <c r="BB73" s="9" t="str">
        <f aca="false">IF(A73="","",1)</f>
        <v/>
      </c>
    </row>
    <row r="74" customFormat="false" ht="12.75" hidden="true" customHeight="false" outlineLevel="0" collapsed="false">
      <c r="A74" s="220"/>
      <c r="B74" s="221"/>
      <c r="C74" s="222"/>
      <c r="D74" s="205" t="str">
        <f aca="false">IF(ISERROR(VLOOKUP($A74,'[1]liste reference'!$A$7:$D$904,2,0)),IF(ISERROR(VLOOKUP($A74,'[1]liste reference'!$B$7:$D$904,1,0)),"",VLOOKUP($A74,'[1]liste reference'!$B$7:$D$904,1,0)),VLOOKUP($A74,'[1]liste reference'!$A$7:$D$904,2,0))</f>
        <v/>
      </c>
      <c r="E74" s="223" t="n">
        <f aca="false">IF(D74="",0,VLOOKUP(D74,D$22:D58,1,0))</f>
        <v>0</v>
      </c>
      <c r="F74" s="228" t="n">
        <f aca="false">($B74*$B$7+$C74*$C$7)/100</f>
        <v>0</v>
      </c>
      <c r="G74" s="234" t="str">
        <f aca="false">IF(A74="","",IF(ISERROR(VLOOKUP($A74,'[1]liste reference'!$A$7:$P$904,13,0)),IF(ISERROR(VLOOKUP($A74,'[1]liste reference'!$B$7:$P$904,12,0)),"    -",VLOOKUP($A74,'[1]liste reference'!$B$7:$P$904,12,0)),VLOOKUP($A74,'[1]liste reference'!$A$7:$P$904,13,0)))</f>
        <v/>
      </c>
      <c r="H74" s="235" t="str">
        <f aca="false">IF(A74="","x",IF(ISERROR(VLOOKUP($A74,'[1]liste reference'!$A$8:$P$904,14,0)),IF(ISERROR(VLOOKUP($A74,'[1]liste reference'!$B$8:$P$904,13,0)),"x",VLOOKUP($A74,'[1]liste reference'!$B$8:$P$904,13,0)),VLOOKUP($A74,'[1]liste reference'!$A$8:$P$904,14,0)))</f>
        <v>x</v>
      </c>
      <c r="I74" s="209" t="str">
        <f aca="false">IF(ISNUMBER(H74),IF(ISERROR(VLOOKUP($A74,'[1]liste reference'!$A$7:$P$904,3,0)),IF(ISERROR(VLOOKUP($A74,'[1]liste reference'!$B$7:$P$904,2,0)),"",VLOOKUP($A74,'[1]liste reference'!$B$7:$P$904,2,0)),VLOOKUP($A74,'[1]liste reference'!$A$7:$P$904,3,0)),"")</f>
        <v/>
      </c>
      <c r="J74" s="209" t="str">
        <f aca="false">IF(ISNUMBER(H74),IF(ISERROR(VLOOKUP($A74,'[1]liste reference'!$A$7:$P$904,4,0)),IF(ISERROR(VLOOKUP($A74,'[1]liste reference'!$B$7:$P$904,3,0)),"",VLOOKUP($A74,'[1]liste reference'!$B$7:$P$904,3,0)),VLOOKUP($A74,'[1]liste reference'!$A$7:$P$904,4,0)),"")</f>
        <v/>
      </c>
      <c r="K74" s="210" t="str">
        <f aca="false">IF(A74="NEWCOD",IF(AB74="","Remplir le champs 'Nouveau taxa' svp.",$AB74),IF(ISTEXT($E74),"DEJA SAISI !",IF(A74="","",IF(ISERROR(VLOOKUP($A74,'[1]liste reference'!$A$7:$D$904,2,0)),IF(ISERROR(VLOOKUP($A74,'[1]liste reference'!$B$7:$D$904,1,0)),"code non répertorié ou synonyme",VLOOKUP($A74,'[1]liste reference'!$B$7:$D$904,1,0)),VLOOKUP(A74,'[1]liste reference'!$A$7:$D$904,2,0)))))</f>
        <v/>
      </c>
      <c r="L74" s="225"/>
      <c r="M74" s="225"/>
      <c r="N74" s="225"/>
      <c r="O74" s="212"/>
      <c r="P74" s="213" t="str">
        <f aca="false">IF($A74="NEWCOD",IF($AC74="","No",$AC74),IF(ISTEXT($E74),"DEJA SAISI !",IF($A74="","",IF(ISERROR(VLOOKUP($A74,'[1]liste reference'!A$1:S$1048576,19,FALSE())),IF(ISERROR(VLOOKUP($A74,'[1]liste reference'!B$1:S$1048576,19,FALSE())),"",VLOOKUP($A74,'[1]liste reference'!B$1:S$1048576,19,FALSE())),VLOOKUP($A74,'[1]liste reference'!A$1:S$1048576,19,FALSE())))))</f>
        <v/>
      </c>
      <c r="Q74" s="214" t="str">
        <f aca="false">IF(ISTEXT(H74),"",(B74*$B$7/100)+(C74*$C$7/100))</f>
        <v/>
      </c>
      <c r="R74" s="215" t="str">
        <f aca="false">IF(OR(ISTEXT(H74),Q74=0),"",IF(Q74&lt;0.1,1,IF(Q74&lt;1,2,IF(Q74&lt;10,3,IF(Q74&lt;50,4,IF(Q74&gt;=50,5,""))))))</f>
        <v/>
      </c>
      <c r="S74" s="215" t="n">
        <f aca="false">IF(ISERROR(R74*I74),0,R74*I74)</f>
        <v>0</v>
      </c>
      <c r="T74" s="215" t="n">
        <f aca="false">IF(ISERROR(R74*I74*J74),0,R74*I74*J74)</f>
        <v>0</v>
      </c>
      <c r="U74" s="226" t="n">
        <f aca="false">IF(ISERROR(R74*J74),0,R74*J74)</f>
        <v>0</v>
      </c>
      <c r="V74" s="216" t="str">
        <f aca="false">IF(AND(A74="",F74=0),"",IF(F74=0,"Il manque le(s) % de rec. !",""))</f>
        <v/>
      </c>
      <c r="W74" s="217"/>
      <c r="Y74" s="215" t="str">
        <f aca="false">IF(A74="new.cod","NEWCOD",IF(AND((Z74=""),ISTEXT(A74)),A74,IF(Z74="","",INDEX('[1]liste reference'!$A$8:$A$904,Z74))))</f>
        <v/>
      </c>
      <c r="Z74" s="9" t="str">
        <f aca="false">IF(ISERROR(MATCH(A74,'[1]liste reference'!$A$8:$A$904,0)),IF(ISERROR(MATCH(A74,'[1]liste reference'!$B$8:$B$904,0)),"",(MATCH(A74,'[1]liste reference'!$B$8:$B$904,0))),(MATCH(A74,'[1]liste reference'!$A$8:$A$904,0)))</f>
        <v/>
      </c>
      <c r="AA74" s="218"/>
      <c r="AB74" s="219"/>
      <c r="AC74" s="219"/>
      <c r="BB74" s="9" t="str">
        <f aca="false">IF(A74="","",1)</f>
        <v/>
      </c>
    </row>
    <row r="75" customFormat="false" ht="12.75" hidden="true" customHeight="false" outlineLevel="0" collapsed="false">
      <c r="A75" s="220"/>
      <c r="B75" s="221"/>
      <c r="C75" s="222"/>
      <c r="D75" s="205" t="str">
        <f aca="false">IF(ISERROR(VLOOKUP($A75,'[1]liste reference'!$A$7:$D$904,2,0)),IF(ISERROR(VLOOKUP($A75,'[1]liste reference'!$B$7:$D$904,1,0)),"",VLOOKUP($A75,'[1]liste reference'!$B$7:$D$904,1,0)),VLOOKUP($A75,'[1]liste reference'!$A$7:$D$904,2,0))</f>
        <v/>
      </c>
      <c r="E75" s="223" t="n">
        <f aca="false">IF(D75="",0,VLOOKUP(D75,D$22:D59,1,0))</f>
        <v>0</v>
      </c>
      <c r="F75" s="228" t="n">
        <f aca="false">($B75*$B$7+$C75*$C$7)/100</f>
        <v>0</v>
      </c>
      <c r="G75" s="234" t="str">
        <f aca="false">IF(A75="","",IF(ISERROR(VLOOKUP($A75,'[1]liste reference'!$A$7:$P$904,13,0)),IF(ISERROR(VLOOKUP($A75,'[1]liste reference'!$B$7:$P$904,12,0)),"    -",VLOOKUP($A75,'[1]liste reference'!$B$7:$P$904,12,0)),VLOOKUP($A75,'[1]liste reference'!$A$7:$P$904,13,0)))</f>
        <v/>
      </c>
      <c r="H75" s="235" t="str">
        <f aca="false">IF(A75="","x",IF(ISERROR(VLOOKUP($A75,'[1]liste reference'!$A$8:$P$904,14,0)),IF(ISERROR(VLOOKUP($A75,'[1]liste reference'!$B$8:$P$904,13,0)),"x",VLOOKUP($A75,'[1]liste reference'!$B$8:$P$904,13,0)),VLOOKUP($A75,'[1]liste reference'!$A$8:$P$904,14,0)))</f>
        <v>x</v>
      </c>
      <c r="I75" s="209" t="str">
        <f aca="false">IF(ISNUMBER(H75),IF(ISERROR(VLOOKUP($A75,'[1]liste reference'!$A$7:$P$904,3,0)),IF(ISERROR(VLOOKUP($A75,'[1]liste reference'!$B$7:$P$904,2,0)),"",VLOOKUP($A75,'[1]liste reference'!$B$7:$P$904,2,0)),VLOOKUP($A75,'[1]liste reference'!$A$7:$P$904,3,0)),"")</f>
        <v/>
      </c>
      <c r="J75" s="209" t="str">
        <f aca="false">IF(ISNUMBER(H75),IF(ISERROR(VLOOKUP($A75,'[1]liste reference'!$A$7:$P$904,4,0)),IF(ISERROR(VLOOKUP($A75,'[1]liste reference'!$B$7:$P$904,3,0)),"",VLOOKUP($A75,'[1]liste reference'!$B$7:$P$904,3,0)),VLOOKUP($A75,'[1]liste reference'!$A$7:$P$904,4,0)),"")</f>
        <v/>
      </c>
      <c r="K75" s="210" t="str">
        <f aca="false">IF(A75="NEWCOD",IF(AB75="","Remplir le champs 'Nouveau taxa' svp.",$AB75),IF(ISTEXT($E75),"DEJA SAISI !",IF(A75="","",IF(ISERROR(VLOOKUP($A75,'[1]liste reference'!$A$7:$D$904,2,0)),IF(ISERROR(VLOOKUP($A75,'[1]liste reference'!$B$7:$D$904,1,0)),"code non répertorié ou synonyme",VLOOKUP($A75,'[1]liste reference'!$B$7:$D$904,1,0)),VLOOKUP(A75,'[1]liste reference'!$A$7:$D$904,2,0)))))</f>
        <v/>
      </c>
      <c r="L75" s="225"/>
      <c r="M75" s="225"/>
      <c r="N75" s="225"/>
      <c r="O75" s="212"/>
      <c r="P75" s="213" t="str">
        <f aca="false">IF($A75="NEWCOD",IF($AC75="","No",$AC75),IF(ISTEXT($E75),"DEJA SAISI !",IF($A75="","",IF(ISERROR(VLOOKUP($A75,'[1]liste reference'!A$1:S$1048576,19,FALSE())),IF(ISERROR(VLOOKUP($A75,'[1]liste reference'!B$1:S$1048576,19,FALSE())),"",VLOOKUP($A75,'[1]liste reference'!B$1:S$1048576,19,FALSE())),VLOOKUP($A75,'[1]liste reference'!A$1:S$1048576,19,FALSE())))))</f>
        <v/>
      </c>
      <c r="Q75" s="214" t="str">
        <f aca="false">IF(ISTEXT(H75),"",(B75*$B$7/100)+(C75*$C$7/100))</f>
        <v/>
      </c>
      <c r="R75" s="215" t="str">
        <f aca="false">IF(OR(ISTEXT(H75),Q75=0),"",IF(Q75&lt;0.1,1,IF(Q75&lt;1,2,IF(Q75&lt;10,3,IF(Q75&lt;50,4,IF(Q75&gt;=50,5,""))))))</f>
        <v/>
      </c>
      <c r="S75" s="215" t="n">
        <f aca="false">IF(ISERROR(R75*I75),0,R75*I75)</f>
        <v>0</v>
      </c>
      <c r="T75" s="215" t="n">
        <f aca="false">IF(ISERROR(R75*I75*J75),0,R75*I75*J75)</f>
        <v>0</v>
      </c>
      <c r="U75" s="226" t="n">
        <f aca="false">IF(ISERROR(R75*J75),0,R75*J75)</f>
        <v>0</v>
      </c>
      <c r="V75" s="216" t="str">
        <f aca="false">IF(AND(A75="",F75=0),"",IF(F75=0,"Il manque le(s) % de rec. !",""))</f>
        <v/>
      </c>
      <c r="W75" s="217"/>
      <c r="Y75" s="215" t="str">
        <f aca="false">IF(A75="new.cod","NEWCOD",IF(AND((Z75=""),ISTEXT(A75)),A75,IF(Z75="","",INDEX('[1]liste reference'!$A$8:$A$904,Z75))))</f>
        <v/>
      </c>
      <c r="Z75" s="9" t="str">
        <f aca="false">IF(ISERROR(MATCH(A75,'[1]liste reference'!$A$8:$A$904,0)),IF(ISERROR(MATCH(A75,'[1]liste reference'!$B$8:$B$904,0)),"",(MATCH(A75,'[1]liste reference'!$B$8:$B$904,0))),(MATCH(A75,'[1]liste reference'!$A$8:$A$904,0)))</f>
        <v/>
      </c>
      <c r="AA75" s="218"/>
      <c r="AB75" s="219"/>
      <c r="AC75" s="219"/>
      <c r="BB75" s="9" t="str">
        <f aca="false">IF(A75="","",1)</f>
        <v/>
      </c>
    </row>
    <row r="76" customFormat="false" ht="12.75" hidden="true" customHeight="false" outlineLevel="0" collapsed="false">
      <c r="A76" s="220"/>
      <c r="B76" s="221"/>
      <c r="C76" s="222"/>
      <c r="D76" s="205" t="str">
        <f aca="false">IF(ISERROR(VLOOKUP($A76,'[1]liste reference'!$A$7:$D$904,2,0)),IF(ISERROR(VLOOKUP($A76,'[1]liste reference'!$B$7:$D$904,1,0)),"",VLOOKUP($A76,'[1]liste reference'!$B$7:$D$904,1,0)),VLOOKUP($A76,'[1]liste reference'!$A$7:$D$904,2,0))</f>
        <v/>
      </c>
      <c r="E76" s="223" t="n">
        <f aca="false">IF(D76="",0,VLOOKUP(D76,D$22:D59,1,0))</f>
        <v>0</v>
      </c>
      <c r="F76" s="228" t="n">
        <f aca="false">($B76*$B$7+$C76*$C$7)/100</f>
        <v>0</v>
      </c>
      <c r="G76" s="234" t="str">
        <f aca="false">IF(A76="","",IF(ISERROR(VLOOKUP($A76,'[1]liste reference'!$A$7:$P$904,13,0)),IF(ISERROR(VLOOKUP($A76,'[1]liste reference'!$B$7:$P$904,12,0)),"    -",VLOOKUP($A76,'[1]liste reference'!$B$7:$P$904,12,0)),VLOOKUP($A76,'[1]liste reference'!$A$7:$P$904,13,0)))</f>
        <v/>
      </c>
      <c r="H76" s="235" t="str">
        <f aca="false">IF(A76="","x",IF(ISERROR(VLOOKUP($A76,'[1]liste reference'!$A$8:$P$904,14,0)),IF(ISERROR(VLOOKUP($A76,'[1]liste reference'!$B$8:$P$904,13,0)),"x",VLOOKUP($A76,'[1]liste reference'!$B$8:$P$904,13,0)),VLOOKUP($A76,'[1]liste reference'!$A$8:$P$904,14,0)))</f>
        <v>x</v>
      </c>
      <c r="I76" s="209" t="str">
        <f aca="false">IF(ISNUMBER(H76),IF(ISERROR(VLOOKUP($A76,'[1]liste reference'!$A$7:$P$904,3,0)),IF(ISERROR(VLOOKUP($A76,'[1]liste reference'!$B$7:$P$904,2,0)),"",VLOOKUP($A76,'[1]liste reference'!$B$7:$P$904,2,0)),VLOOKUP($A76,'[1]liste reference'!$A$7:$P$904,3,0)),"")</f>
        <v/>
      </c>
      <c r="J76" s="209" t="str">
        <f aca="false">IF(ISNUMBER(H76),IF(ISERROR(VLOOKUP($A76,'[1]liste reference'!$A$7:$P$904,4,0)),IF(ISERROR(VLOOKUP($A76,'[1]liste reference'!$B$7:$P$904,3,0)),"",VLOOKUP($A76,'[1]liste reference'!$B$7:$P$904,3,0)),VLOOKUP($A76,'[1]liste reference'!$A$7:$P$904,4,0)),"")</f>
        <v/>
      </c>
      <c r="K76" s="210" t="str">
        <f aca="false">IF(A76="NEWCOD",IF(AB76="","Remplir le champs 'Nouveau taxa' svp.",$AB76),IF(ISTEXT($E76),"DEJA SAISI !",IF(A76="","",IF(ISERROR(VLOOKUP($A76,'[1]liste reference'!$A$7:$D$904,2,0)),IF(ISERROR(VLOOKUP($A76,'[1]liste reference'!$B$7:$D$904,1,0)),"code non répertorié ou synonyme",VLOOKUP($A76,'[1]liste reference'!$B$7:$D$904,1,0)),VLOOKUP(A76,'[1]liste reference'!$A$7:$D$904,2,0)))))</f>
        <v/>
      </c>
      <c r="L76" s="225"/>
      <c r="M76" s="225"/>
      <c r="N76" s="225"/>
      <c r="O76" s="212"/>
      <c r="P76" s="213" t="str">
        <f aca="false">IF($A76="NEWCOD",IF($AC76="","No",$AC76),IF(ISTEXT($E76),"DEJA SAISI !",IF($A76="","",IF(ISERROR(VLOOKUP($A76,'[1]liste reference'!A$1:S$1048576,19,FALSE())),IF(ISERROR(VLOOKUP($A76,'[1]liste reference'!B$1:S$1048576,19,FALSE())),"",VLOOKUP($A76,'[1]liste reference'!B$1:S$1048576,19,FALSE())),VLOOKUP($A76,'[1]liste reference'!A$1:S$1048576,19,FALSE())))))</f>
        <v/>
      </c>
      <c r="Q76" s="214" t="str">
        <f aca="false">IF(ISTEXT(H76),"",(B76*$B$7/100)+(C76*$C$7/100))</f>
        <v/>
      </c>
      <c r="R76" s="215" t="str">
        <f aca="false">IF(OR(ISTEXT(H76),Q76=0),"",IF(Q76&lt;0.1,1,IF(Q76&lt;1,2,IF(Q76&lt;10,3,IF(Q76&lt;50,4,IF(Q76&gt;=50,5,""))))))</f>
        <v/>
      </c>
      <c r="S76" s="215" t="n">
        <f aca="false">IF(ISERROR(R76*I76),0,R76*I76)</f>
        <v>0</v>
      </c>
      <c r="T76" s="215" t="n">
        <f aca="false">IF(ISERROR(R76*I76*J76),0,R76*I76*J76)</f>
        <v>0</v>
      </c>
      <c r="U76" s="226" t="n">
        <f aca="false">IF(ISERROR(R76*J76),0,R76*J76)</f>
        <v>0</v>
      </c>
      <c r="V76" s="216" t="str">
        <f aca="false">IF(AND(A76="",F76=0),"",IF(F76=0,"Il manque le(s) % de rec. !",""))</f>
        <v/>
      </c>
      <c r="W76" s="217"/>
      <c r="Y76" s="215" t="str">
        <f aca="false">IF(A76="new.cod","NEWCOD",IF(AND((Z76=""),ISTEXT(A76)),A76,IF(Z76="","",INDEX('[1]liste reference'!$A$8:$A$904,Z76))))</f>
        <v/>
      </c>
      <c r="Z76" s="9" t="str">
        <f aca="false">IF(ISERROR(MATCH(A76,'[1]liste reference'!$A$8:$A$904,0)),IF(ISERROR(MATCH(A76,'[1]liste reference'!$B$8:$B$904,0)),"",(MATCH(A76,'[1]liste reference'!$B$8:$B$904,0))),(MATCH(A76,'[1]liste reference'!$A$8:$A$904,0)))</f>
        <v/>
      </c>
      <c r="AA76" s="218"/>
      <c r="AB76" s="219"/>
      <c r="AC76" s="219"/>
      <c r="BB76" s="9" t="str">
        <f aca="false">IF(A76="","",1)</f>
        <v/>
      </c>
    </row>
    <row r="77" customFormat="false" ht="12.75" hidden="true" customHeight="false" outlineLevel="0" collapsed="false">
      <c r="A77" s="220"/>
      <c r="B77" s="221"/>
      <c r="C77" s="222"/>
      <c r="D77" s="205" t="str">
        <f aca="false">IF(ISERROR(VLOOKUP($A77,'[1]liste reference'!$A$7:$D$904,2,0)),IF(ISERROR(VLOOKUP($A77,'[1]liste reference'!$B$7:$D$904,1,0)),"",VLOOKUP($A77,'[1]liste reference'!$B$7:$D$904,1,0)),VLOOKUP($A77,'[1]liste reference'!$A$7:$D$904,2,0))</f>
        <v/>
      </c>
      <c r="E77" s="223" t="n">
        <f aca="false">IF(D77="",0,VLOOKUP(D77,D$22:D75,1,0))</f>
        <v>0</v>
      </c>
      <c r="F77" s="228" t="n">
        <f aca="false">($B77*$B$7+$C77*$C$7)/100</f>
        <v>0</v>
      </c>
      <c r="G77" s="234" t="str">
        <f aca="false">IF(A77="","",IF(ISERROR(VLOOKUP($A77,'[1]liste reference'!$A$7:$P$904,13,0)),IF(ISERROR(VLOOKUP($A77,'[1]liste reference'!$B$7:$P$904,12,0)),"    -",VLOOKUP($A77,'[1]liste reference'!$B$7:$P$904,12,0)),VLOOKUP($A77,'[1]liste reference'!$A$7:$P$904,13,0)))</f>
        <v/>
      </c>
      <c r="H77" s="235" t="str">
        <f aca="false">IF(A77="","x",IF(ISERROR(VLOOKUP($A77,'[1]liste reference'!$A$8:$P$904,14,0)),IF(ISERROR(VLOOKUP($A77,'[1]liste reference'!$B$8:$P$904,13,0)),"x",VLOOKUP($A77,'[1]liste reference'!$B$8:$P$904,13,0)),VLOOKUP($A77,'[1]liste reference'!$A$8:$P$904,14,0)))</f>
        <v>x</v>
      </c>
      <c r="I77" s="209" t="str">
        <f aca="false">IF(ISNUMBER(H77),IF(ISERROR(VLOOKUP($A77,'[1]liste reference'!$A$7:$P$904,3,0)),IF(ISERROR(VLOOKUP($A77,'[1]liste reference'!$B$7:$P$904,2,0)),"",VLOOKUP($A77,'[1]liste reference'!$B$7:$P$904,2,0)),VLOOKUP($A77,'[1]liste reference'!$A$7:$P$904,3,0)),"")</f>
        <v/>
      </c>
      <c r="J77" s="209" t="str">
        <f aca="false">IF(ISNUMBER(H77),IF(ISERROR(VLOOKUP($A77,'[1]liste reference'!$A$7:$P$904,4,0)),IF(ISERROR(VLOOKUP($A77,'[1]liste reference'!$B$7:$P$904,3,0)),"",VLOOKUP($A77,'[1]liste reference'!$B$7:$P$904,3,0)),VLOOKUP($A77,'[1]liste reference'!$A$7:$P$904,4,0)),"")</f>
        <v/>
      </c>
      <c r="K77" s="210" t="str">
        <f aca="false">IF(A77="NEWCOD",IF(AB77="","Remplir le champs 'Nouveau taxa' svp.",$AB77),IF(ISTEXT($E77),"DEJA SAISI !",IF(A77="","",IF(ISERROR(VLOOKUP($A77,'[1]liste reference'!$A$7:$D$904,2,0)),IF(ISERROR(VLOOKUP($A77,'[1]liste reference'!$B$7:$D$904,1,0)),"code non répertorié ou synonyme",VLOOKUP($A77,'[1]liste reference'!$B$7:$D$904,1,0)),VLOOKUP(A77,'[1]liste reference'!$A$7:$D$904,2,0)))))</f>
        <v/>
      </c>
      <c r="L77" s="225"/>
      <c r="M77" s="225"/>
      <c r="N77" s="225"/>
      <c r="O77" s="212"/>
      <c r="P77" s="213" t="str">
        <f aca="false">IF($A77="NEWCOD",IF($AC77="","No",$AC77),IF(ISTEXT($E77),"DEJA SAISI !",IF($A77="","",IF(ISERROR(VLOOKUP($A77,'[1]liste reference'!A$1:S$1048576,19,FALSE())),IF(ISERROR(VLOOKUP($A77,'[1]liste reference'!B$1:S$1048576,19,FALSE())),"",VLOOKUP($A77,'[1]liste reference'!B$1:S$1048576,19,FALSE())),VLOOKUP($A77,'[1]liste reference'!A$1:S$1048576,19,FALSE())))))</f>
        <v/>
      </c>
      <c r="Q77" s="214" t="str">
        <f aca="false">IF(ISTEXT(H77),"",(B77*$B$7/100)+(C77*$C$7/100))</f>
        <v/>
      </c>
      <c r="R77" s="215" t="str">
        <f aca="false">IF(OR(ISTEXT(H77),Q77=0),"",IF(Q77&lt;0.1,1,IF(Q77&lt;1,2,IF(Q77&lt;10,3,IF(Q77&lt;50,4,IF(Q77&gt;=50,5,""))))))</f>
        <v/>
      </c>
      <c r="S77" s="215" t="n">
        <f aca="false">IF(ISERROR(R77*I77),0,R77*I77)</f>
        <v>0</v>
      </c>
      <c r="T77" s="215" t="n">
        <f aca="false">IF(ISERROR(R77*I77*J77),0,R77*I77*J77)</f>
        <v>0</v>
      </c>
      <c r="U77" s="226" t="n">
        <f aca="false">IF(ISERROR(R77*J77),0,R77*J77)</f>
        <v>0</v>
      </c>
      <c r="V77" s="216" t="str">
        <f aca="false">IF(AND(A77="",F77=0),"",IF(F77=0,"Il manque le(s) % de rec. !",""))</f>
        <v/>
      </c>
      <c r="W77" s="217"/>
      <c r="Y77" s="215" t="str">
        <f aca="false">IF(A77="new.cod","NEWCOD",IF(AND((Z77=""),ISTEXT(A77)),A77,IF(Z77="","",INDEX('[1]liste reference'!$A$8:$A$904,Z77))))</f>
        <v/>
      </c>
      <c r="Z77" s="9" t="str">
        <f aca="false">IF(ISERROR(MATCH(A77,'[1]liste reference'!$A$8:$A$904,0)),IF(ISERROR(MATCH(A77,'[1]liste reference'!$B$8:$B$904,0)),"",(MATCH(A77,'[1]liste reference'!$B$8:$B$904,0))),(MATCH(A77,'[1]liste reference'!$A$8:$A$904,0)))</f>
        <v/>
      </c>
      <c r="AA77" s="218"/>
      <c r="AB77" s="219"/>
      <c r="AC77" s="219"/>
      <c r="BB77" s="9" t="str">
        <f aca="false">IF(A77="","",1)</f>
        <v/>
      </c>
    </row>
    <row r="78" customFormat="false" ht="12.75" hidden="true" customHeight="false" outlineLevel="0" collapsed="false">
      <c r="A78" s="220"/>
      <c r="B78" s="221"/>
      <c r="C78" s="222"/>
      <c r="D78" s="205" t="str">
        <f aca="false">IF(ISERROR(VLOOKUP($A78,'[1]liste reference'!$A$7:$D$904,2,0)),IF(ISERROR(VLOOKUP($A78,'[1]liste reference'!$B$7:$D$904,1,0)),"",VLOOKUP($A78,'[1]liste reference'!$B$7:$D$904,1,0)),VLOOKUP($A78,'[1]liste reference'!$A$7:$D$904,2,0))</f>
        <v/>
      </c>
      <c r="E78" s="223" t="n">
        <f aca="false">IF(D78="",0,VLOOKUP(D78,D$22:D75,1,0))</f>
        <v>0</v>
      </c>
      <c r="F78" s="228" t="n">
        <f aca="false">($B78*$B$7+$C78*$C$7)/100</f>
        <v>0</v>
      </c>
      <c r="G78" s="234" t="str">
        <f aca="false">IF(A78="","",IF(ISERROR(VLOOKUP($A78,'[1]liste reference'!$A$7:$P$904,13,0)),IF(ISERROR(VLOOKUP($A78,'[1]liste reference'!$B$7:$P$904,12,0)),"    -",VLOOKUP($A78,'[1]liste reference'!$B$7:$P$904,12,0)),VLOOKUP($A78,'[1]liste reference'!$A$7:$P$904,13,0)))</f>
        <v/>
      </c>
      <c r="H78" s="235" t="str">
        <f aca="false">IF(A78="","x",IF(ISERROR(VLOOKUP($A78,'[1]liste reference'!$A$8:$P$904,14,0)),IF(ISERROR(VLOOKUP($A78,'[1]liste reference'!$B$8:$P$904,13,0)),"x",VLOOKUP($A78,'[1]liste reference'!$B$8:$P$904,13,0)),VLOOKUP($A78,'[1]liste reference'!$A$8:$P$904,14,0)))</f>
        <v>x</v>
      </c>
      <c r="I78" s="209" t="str">
        <f aca="false">IF(ISNUMBER(H78),IF(ISERROR(VLOOKUP($A78,'[1]liste reference'!$A$7:$P$904,3,0)),IF(ISERROR(VLOOKUP($A78,'[1]liste reference'!$B$7:$P$904,2,0)),"",VLOOKUP($A78,'[1]liste reference'!$B$7:$P$904,2,0)),VLOOKUP($A78,'[1]liste reference'!$A$7:$P$904,3,0)),"")</f>
        <v/>
      </c>
      <c r="J78" s="209" t="str">
        <f aca="false">IF(ISNUMBER(H78),IF(ISERROR(VLOOKUP($A78,'[1]liste reference'!$A$7:$P$904,4,0)),IF(ISERROR(VLOOKUP($A78,'[1]liste reference'!$B$7:$P$904,3,0)),"",VLOOKUP($A78,'[1]liste reference'!$B$7:$P$904,3,0)),VLOOKUP($A78,'[1]liste reference'!$A$7:$P$904,4,0)),"")</f>
        <v/>
      </c>
      <c r="K78" s="210" t="str">
        <f aca="false">IF(A78="NEWCOD",IF(AB78="","Remplir le champs 'Nouveau taxa' svp.",$AB78),IF(ISTEXT($E78),"DEJA SAISI !",IF(A78="","",IF(ISERROR(VLOOKUP($A78,'[1]liste reference'!$A$7:$D$904,2,0)),IF(ISERROR(VLOOKUP($A78,'[1]liste reference'!$B$7:$D$904,1,0)),"code non répertorié ou synonyme",VLOOKUP($A78,'[1]liste reference'!$B$7:$D$904,1,0)),VLOOKUP(A78,'[1]liste reference'!$A$7:$D$904,2,0)))))</f>
        <v/>
      </c>
      <c r="L78" s="225"/>
      <c r="M78" s="225"/>
      <c r="N78" s="225"/>
      <c r="O78" s="212"/>
      <c r="P78" s="213" t="str">
        <f aca="false">IF($A78="NEWCOD",IF($AC78="","No",$AC78),IF(ISTEXT($E78),"DEJA SAISI !",IF($A78="","",IF(ISERROR(VLOOKUP($A78,'[1]liste reference'!A$1:S$1048576,19,FALSE())),IF(ISERROR(VLOOKUP($A78,'[1]liste reference'!B$1:S$1048576,19,FALSE())),"",VLOOKUP($A78,'[1]liste reference'!B$1:S$1048576,19,FALSE())),VLOOKUP($A78,'[1]liste reference'!A$1:S$1048576,19,FALSE())))))</f>
        <v/>
      </c>
      <c r="Q78" s="214" t="str">
        <f aca="false">IF(ISTEXT(H78),"",(B78*$B$7/100)+(C78*$C$7/100))</f>
        <v/>
      </c>
      <c r="R78" s="215" t="str">
        <f aca="false">IF(OR(ISTEXT(H78),Q78=0),"",IF(Q78&lt;0.1,1,IF(Q78&lt;1,2,IF(Q78&lt;10,3,IF(Q78&lt;50,4,IF(Q78&gt;=50,5,""))))))</f>
        <v/>
      </c>
      <c r="S78" s="215" t="n">
        <f aca="false">IF(ISERROR(R78*I78),0,R78*I78)</f>
        <v>0</v>
      </c>
      <c r="T78" s="215" t="n">
        <f aca="false">IF(ISERROR(R78*I78*J78),0,R78*I78*J78)</f>
        <v>0</v>
      </c>
      <c r="U78" s="226" t="n">
        <f aca="false">IF(ISERROR(R78*J78),0,R78*J78)</f>
        <v>0</v>
      </c>
      <c r="V78" s="216" t="str">
        <f aca="false">IF(AND(A78="",F78=0),"",IF(F78=0,"Il manque le(s) % de rec. !",""))</f>
        <v/>
      </c>
      <c r="W78" s="217"/>
      <c r="Y78" s="215" t="str">
        <f aca="false">IF(A78="new.cod","NEWCOD",IF(AND((Z78=""),ISTEXT(A78)),A78,IF(Z78="","",INDEX('[1]liste reference'!$A$8:$A$904,Z78))))</f>
        <v/>
      </c>
      <c r="Z78" s="9" t="str">
        <f aca="false">IF(ISERROR(MATCH(A78,'[1]liste reference'!$A$8:$A$904,0)),IF(ISERROR(MATCH(A78,'[1]liste reference'!$B$8:$B$904,0)),"",(MATCH(A78,'[1]liste reference'!$B$8:$B$904,0))),(MATCH(A78,'[1]liste reference'!$A$8:$A$904,0)))</f>
        <v/>
      </c>
      <c r="AA78" s="218"/>
      <c r="AB78" s="219"/>
      <c r="AC78" s="219"/>
      <c r="BB78" s="9" t="str">
        <f aca="false">IF(A78="","",1)</f>
        <v/>
      </c>
    </row>
    <row r="79" customFormat="false" ht="12.75" hidden="true" customHeight="false" outlineLevel="0" collapsed="false">
      <c r="A79" s="220"/>
      <c r="B79" s="221"/>
      <c r="C79" s="222"/>
      <c r="D79" s="205" t="str">
        <f aca="false">IF(ISERROR(VLOOKUP($A79,'[1]liste reference'!$A$7:$D$904,2,0)),IF(ISERROR(VLOOKUP($A79,'[1]liste reference'!$B$7:$D$904,1,0)),"",VLOOKUP($A79,'[1]liste reference'!$B$7:$D$904,1,0)),VLOOKUP($A79,'[1]liste reference'!$A$7:$D$904,2,0))</f>
        <v/>
      </c>
      <c r="E79" s="223" t="n">
        <f aca="false">IF(D79="",0,VLOOKUP(D79,D$22:D75,1,0))</f>
        <v>0</v>
      </c>
      <c r="F79" s="228" t="n">
        <f aca="false">($B79*$B$7+$C79*$C$7)/100</f>
        <v>0</v>
      </c>
      <c r="G79" s="234" t="str">
        <f aca="false">IF(A79="","",IF(ISERROR(VLOOKUP($A79,'[1]liste reference'!$A$7:$P$904,13,0)),IF(ISERROR(VLOOKUP($A79,'[1]liste reference'!$B$7:$P$904,12,0)),"    -",VLOOKUP($A79,'[1]liste reference'!$B$7:$P$904,12,0)),VLOOKUP($A79,'[1]liste reference'!$A$7:$P$904,13,0)))</f>
        <v/>
      </c>
      <c r="H79" s="235" t="str">
        <f aca="false">IF(A79="","x",IF(ISERROR(VLOOKUP($A79,'[1]liste reference'!$A$8:$P$904,14,0)),IF(ISERROR(VLOOKUP($A79,'[1]liste reference'!$B$8:$P$904,13,0)),"x",VLOOKUP($A79,'[1]liste reference'!$B$8:$P$904,13,0)),VLOOKUP($A79,'[1]liste reference'!$A$8:$P$904,14,0)))</f>
        <v>x</v>
      </c>
      <c r="I79" s="209" t="str">
        <f aca="false">IF(ISNUMBER(H79),IF(ISERROR(VLOOKUP($A79,'[1]liste reference'!$A$7:$P$904,3,0)),IF(ISERROR(VLOOKUP($A79,'[1]liste reference'!$B$7:$P$904,2,0)),"",VLOOKUP($A79,'[1]liste reference'!$B$7:$P$904,2,0)),VLOOKUP($A79,'[1]liste reference'!$A$7:$P$904,3,0)),"")</f>
        <v/>
      </c>
      <c r="J79" s="209" t="str">
        <f aca="false">IF(ISNUMBER(H79),IF(ISERROR(VLOOKUP($A79,'[1]liste reference'!$A$7:$P$904,4,0)),IF(ISERROR(VLOOKUP($A79,'[1]liste reference'!$B$7:$P$904,3,0)),"",VLOOKUP($A79,'[1]liste reference'!$B$7:$P$904,3,0)),VLOOKUP($A79,'[1]liste reference'!$A$7:$P$904,4,0)),"")</f>
        <v/>
      </c>
      <c r="K79" s="210" t="str">
        <f aca="false">IF(A79="NEWCOD",IF(AB79="","Remplir le champs 'Nouveau taxa' svp.",$AB79),IF(ISTEXT($E79),"DEJA SAISI !",IF(A79="","",IF(ISERROR(VLOOKUP($A79,'[1]liste reference'!$A$7:$D$904,2,0)),IF(ISERROR(VLOOKUP($A79,'[1]liste reference'!$B$7:$D$904,1,0)),"code non répertorié ou synonyme",VLOOKUP($A79,'[1]liste reference'!$B$7:$D$904,1,0)),VLOOKUP(A79,'[1]liste reference'!$A$7:$D$904,2,0)))))</f>
        <v/>
      </c>
      <c r="L79" s="225"/>
      <c r="M79" s="225"/>
      <c r="N79" s="225"/>
      <c r="O79" s="212"/>
      <c r="P79" s="213" t="str">
        <f aca="false">IF($A79="NEWCOD",IF($AC79="","No",$AC79),IF(ISTEXT($E79),"DEJA SAISI !",IF($A79="","",IF(ISERROR(VLOOKUP($A79,'[1]liste reference'!A$1:S$1048576,19,FALSE())),IF(ISERROR(VLOOKUP($A79,'[1]liste reference'!B$1:S$1048576,19,FALSE())),"",VLOOKUP($A79,'[1]liste reference'!B$1:S$1048576,19,FALSE())),VLOOKUP($A79,'[1]liste reference'!A$1:S$1048576,19,FALSE())))))</f>
        <v/>
      </c>
      <c r="Q79" s="214" t="str">
        <f aca="false">IF(ISTEXT(H79),"",(B79*$B$7/100)+(C79*$C$7/100))</f>
        <v/>
      </c>
      <c r="R79" s="215" t="str">
        <f aca="false">IF(OR(ISTEXT(H79),Q79=0),"",IF(Q79&lt;0.1,1,IF(Q79&lt;1,2,IF(Q79&lt;10,3,IF(Q79&lt;50,4,IF(Q79&gt;=50,5,""))))))</f>
        <v/>
      </c>
      <c r="S79" s="215" t="n">
        <f aca="false">IF(ISERROR(R79*I79),0,R79*I79)</f>
        <v>0</v>
      </c>
      <c r="T79" s="215" t="n">
        <f aca="false">IF(ISERROR(R79*I79*J79),0,R79*I79*J79)</f>
        <v>0</v>
      </c>
      <c r="U79" s="226" t="n">
        <f aca="false">IF(ISERROR(R79*J79),0,R79*J79)</f>
        <v>0</v>
      </c>
      <c r="V79" s="216" t="str">
        <f aca="false">IF(AND(A79="",F79=0),"",IF(F79=0,"Il manque le(s) % de rec. !",""))</f>
        <v/>
      </c>
      <c r="W79" s="217"/>
      <c r="Y79" s="215" t="str">
        <f aca="false">IF(A79="new.cod","NEWCOD",IF(AND((Z79=""),ISTEXT(A79)),A79,IF(Z79="","",INDEX('[1]liste reference'!$A$8:$A$904,Z79))))</f>
        <v/>
      </c>
      <c r="Z79" s="9" t="str">
        <f aca="false">IF(ISERROR(MATCH(A79,'[1]liste reference'!$A$8:$A$904,0)),IF(ISERROR(MATCH(A79,'[1]liste reference'!$B$8:$B$904,0)),"",(MATCH(A79,'[1]liste reference'!$B$8:$B$904,0))),(MATCH(A79,'[1]liste reference'!$A$8:$A$904,0)))</f>
        <v/>
      </c>
      <c r="AA79" s="218"/>
      <c r="AB79" s="219"/>
      <c r="AC79" s="219"/>
      <c r="BB79" s="9" t="str">
        <f aca="false">IF(A79="","",1)</f>
        <v/>
      </c>
    </row>
    <row r="80" customFormat="false" ht="12.75" hidden="true" customHeight="false" outlineLevel="0" collapsed="false">
      <c r="A80" s="220"/>
      <c r="B80" s="221"/>
      <c r="C80" s="222"/>
      <c r="D80" s="205" t="str">
        <f aca="false">IF(ISERROR(VLOOKUP($A80,'[1]liste reference'!$A$7:$D$904,2,0)),IF(ISERROR(VLOOKUP($A80,'[1]liste reference'!$B$7:$D$904,1,0)),"",VLOOKUP($A80,'[1]liste reference'!$B$7:$D$904,1,0)),VLOOKUP($A80,'[1]liste reference'!$A$7:$D$904,2,0))</f>
        <v/>
      </c>
      <c r="E80" s="223" t="n">
        <f aca="false">IF(D80="",0,VLOOKUP(D80,D$22:D79,1,0))</f>
        <v>0</v>
      </c>
      <c r="F80" s="228" t="n">
        <f aca="false">($B80*$B$7+$C80*$C$7)/100</f>
        <v>0</v>
      </c>
      <c r="G80" s="234" t="str">
        <f aca="false">IF(A80="","",IF(ISERROR(VLOOKUP($A80,'[1]liste reference'!$A$7:$P$904,13,0)),IF(ISERROR(VLOOKUP($A80,'[1]liste reference'!$B$7:$P$904,12,0)),"    -",VLOOKUP($A80,'[1]liste reference'!$B$7:$P$904,12,0)),VLOOKUP($A80,'[1]liste reference'!$A$7:$P$904,13,0)))</f>
        <v/>
      </c>
      <c r="H80" s="235" t="str">
        <f aca="false">IF(A80="","x",IF(ISERROR(VLOOKUP($A80,'[1]liste reference'!$A$8:$P$904,14,0)),IF(ISERROR(VLOOKUP($A80,'[1]liste reference'!$B$8:$P$904,13,0)),"x",VLOOKUP($A80,'[1]liste reference'!$B$8:$P$904,13,0)),VLOOKUP($A80,'[1]liste reference'!$A$8:$P$904,14,0)))</f>
        <v>x</v>
      </c>
      <c r="I80" s="209" t="str">
        <f aca="false">IF(ISNUMBER(H80),IF(ISERROR(VLOOKUP($A80,'[1]liste reference'!$A$7:$P$904,3,0)),IF(ISERROR(VLOOKUP($A80,'[1]liste reference'!$B$7:$P$904,2,0)),"",VLOOKUP($A80,'[1]liste reference'!$B$7:$P$904,2,0)),VLOOKUP($A80,'[1]liste reference'!$A$7:$P$904,3,0)),"")</f>
        <v/>
      </c>
      <c r="J80" s="209" t="str">
        <f aca="false">IF(ISNUMBER(H80),IF(ISERROR(VLOOKUP($A80,'[1]liste reference'!$A$7:$P$904,4,0)),IF(ISERROR(VLOOKUP($A80,'[1]liste reference'!$B$7:$P$904,3,0)),"",VLOOKUP($A80,'[1]liste reference'!$B$7:$P$904,3,0)),VLOOKUP($A80,'[1]liste reference'!$A$7:$P$904,4,0)),"")</f>
        <v/>
      </c>
      <c r="K80" s="210" t="str">
        <f aca="false">IF(A80="NEWCOD",IF(AB80="","Remplir le champs 'Nouveau taxa' svp.",$AB80),IF(ISTEXT($E80),"DEJA SAISI !",IF(A80="","",IF(ISERROR(VLOOKUP($A80,'[1]liste reference'!$A$7:$D$904,2,0)),IF(ISERROR(VLOOKUP($A80,'[1]liste reference'!$B$7:$D$904,1,0)),"code non répertorié ou synonyme",VLOOKUP($A80,'[1]liste reference'!$B$7:$D$904,1,0)),VLOOKUP(A80,'[1]liste reference'!$A$7:$D$904,2,0)))))</f>
        <v/>
      </c>
      <c r="L80" s="225"/>
      <c r="M80" s="225"/>
      <c r="N80" s="225"/>
      <c r="O80" s="212"/>
      <c r="P80" s="213" t="str">
        <f aca="false">IF($A80="NEWCOD",IF($AC80="","No",$AC80),IF(ISTEXT($E80),"DEJA SAISI !",IF($A80="","",IF(ISERROR(VLOOKUP($A80,'[1]liste reference'!A$1:S$1048576,19,FALSE())),IF(ISERROR(VLOOKUP($A80,'[1]liste reference'!B$1:S$1048576,19,FALSE())),"",VLOOKUP($A80,'[1]liste reference'!B$1:S$1048576,19,FALSE())),VLOOKUP($A80,'[1]liste reference'!A$1:S$1048576,19,FALSE())))))</f>
        <v/>
      </c>
      <c r="Q80" s="214" t="str">
        <f aca="false">IF(ISTEXT(H80),"",(B80*$B$7/100)+(C80*$C$7/100))</f>
        <v/>
      </c>
      <c r="R80" s="215" t="str">
        <f aca="false">IF(OR(ISTEXT(H80),Q80=0),"",IF(Q80&lt;0.1,1,IF(Q80&lt;1,2,IF(Q80&lt;10,3,IF(Q80&lt;50,4,IF(Q80&gt;=50,5,""))))))</f>
        <v/>
      </c>
      <c r="S80" s="215" t="n">
        <f aca="false">IF(ISERROR(R80*I80),0,R80*I80)</f>
        <v>0</v>
      </c>
      <c r="T80" s="215" t="n">
        <f aca="false">IF(ISERROR(R80*I80*J80),0,R80*I80*J80)</f>
        <v>0</v>
      </c>
      <c r="U80" s="226" t="n">
        <f aca="false">IF(ISERROR(R80*J80),0,R80*J80)</f>
        <v>0</v>
      </c>
      <c r="V80" s="216" t="str">
        <f aca="false">IF(AND(A80="",F80=0),"",IF(F80=0,"Il manque le(s) % de rec. !",""))</f>
        <v/>
      </c>
      <c r="W80" s="217"/>
      <c r="Y80" s="215" t="str">
        <f aca="false">IF(A80="new.cod","NEWCOD",IF(AND((Z80=""),ISTEXT(A80)),A80,IF(Z80="","",INDEX('[1]liste reference'!$A$8:$A$904,Z80))))</f>
        <v/>
      </c>
      <c r="Z80" s="9" t="str">
        <f aca="false">IF(ISERROR(MATCH(A80,'[1]liste reference'!$A$8:$A$904,0)),IF(ISERROR(MATCH(A80,'[1]liste reference'!$B$8:$B$904,0)),"",(MATCH(A80,'[1]liste reference'!$B$8:$B$904,0))),(MATCH(A80,'[1]liste reference'!$A$8:$A$904,0)))</f>
        <v/>
      </c>
      <c r="AA80" s="218"/>
      <c r="AB80" s="219"/>
      <c r="AC80" s="219"/>
      <c r="BB80" s="9" t="str">
        <f aca="false">IF(A80="","",1)</f>
        <v/>
      </c>
    </row>
    <row r="81" customFormat="false" ht="12.75" hidden="true" customHeight="false" outlineLevel="0" collapsed="false">
      <c r="A81" s="220"/>
      <c r="B81" s="221"/>
      <c r="C81" s="222"/>
      <c r="D81" s="205" t="str">
        <f aca="false">IF(ISERROR(VLOOKUP($A81,'[1]liste reference'!$A$7:$D$904,2,0)),IF(ISERROR(VLOOKUP($A81,'[1]liste reference'!$B$7:$D$904,1,0)),"",VLOOKUP($A81,'[1]liste reference'!$B$7:$D$904,1,0)),VLOOKUP($A81,'[1]liste reference'!$A$7:$D$904,2,0))</f>
        <v/>
      </c>
      <c r="E81" s="223" t="n">
        <f aca="false">IF(D81="",0,VLOOKUP(D81,D$21:D80,1,0))</f>
        <v>0</v>
      </c>
      <c r="F81" s="228" t="n">
        <f aca="false">($B81*$B$7+$C81*$C$7)/100</f>
        <v>0</v>
      </c>
      <c r="G81" s="234" t="str">
        <f aca="false">IF(A81="","",IF(ISERROR(VLOOKUP($A81,'[1]liste reference'!$A$7:$P$904,13,0)),IF(ISERROR(VLOOKUP($A81,'[1]liste reference'!$B$7:$P$904,12,0)),"    -",VLOOKUP($A81,'[1]liste reference'!$B$7:$P$904,12,0)),VLOOKUP($A81,'[1]liste reference'!$A$7:$P$904,13,0)))</f>
        <v/>
      </c>
      <c r="H81" s="235" t="str">
        <f aca="false">IF(A81="","x",IF(ISERROR(VLOOKUP($A81,'[1]liste reference'!$A$8:$P$904,14,0)),IF(ISERROR(VLOOKUP($A81,'[1]liste reference'!$B$8:$P$904,13,0)),"x",VLOOKUP($A81,'[1]liste reference'!$B$8:$P$904,13,0)),VLOOKUP($A81,'[1]liste reference'!$A$8:$P$904,14,0)))</f>
        <v>x</v>
      </c>
      <c r="I81" s="209" t="str">
        <f aca="false">IF(ISNUMBER(H81),IF(ISERROR(VLOOKUP($A81,'[1]liste reference'!$A$7:$P$904,3,0)),IF(ISERROR(VLOOKUP($A81,'[1]liste reference'!$B$7:$P$904,2,0)),"",VLOOKUP($A81,'[1]liste reference'!$B$7:$P$904,2,0)),VLOOKUP($A81,'[1]liste reference'!$A$7:$P$904,3,0)),"")</f>
        <v/>
      </c>
      <c r="J81" s="209" t="str">
        <f aca="false">IF(ISNUMBER(H81),IF(ISERROR(VLOOKUP($A81,'[1]liste reference'!$A$7:$P$904,4,0)),IF(ISERROR(VLOOKUP($A81,'[1]liste reference'!$B$7:$P$904,3,0)),"",VLOOKUP($A81,'[1]liste reference'!$B$7:$P$904,3,0)),VLOOKUP($A81,'[1]liste reference'!$A$7:$P$904,4,0)),"")</f>
        <v/>
      </c>
      <c r="K81" s="210" t="str">
        <f aca="false">IF(A81="NEWCOD",IF(AB81="","Remplir le champs 'Nouveau taxa' svp.",$AB81),IF(ISTEXT($E81),"DEJA SAISI !",IF(A81="","",IF(ISERROR(VLOOKUP($A81,'[1]liste reference'!$A$7:$D$904,2,0)),IF(ISERROR(VLOOKUP($A81,'[1]liste reference'!$B$7:$D$904,1,0)),"code non répertorié ou synonyme",VLOOKUP($A81,'[1]liste reference'!$B$7:$D$904,1,0)),VLOOKUP(A81,'[1]liste reference'!$A$7:$D$904,2,0)))))</f>
        <v/>
      </c>
      <c r="L81" s="230"/>
      <c r="M81" s="230"/>
      <c r="N81" s="230"/>
      <c r="O81" s="212"/>
      <c r="P81" s="213" t="str">
        <f aca="false">IF($A81="NEWCOD",IF($AC81="","No",$AC81),IF(ISTEXT($E81),"DEJA SAISI !",IF($A81="","",IF(ISERROR(VLOOKUP($A81,'[1]liste reference'!A$1:S$1048576,19,FALSE())),IF(ISERROR(VLOOKUP($A81,'[1]liste reference'!B$1:S$1048576,19,FALSE())),"",VLOOKUP($A81,'[1]liste reference'!B$1:S$1048576,19,FALSE())),VLOOKUP($A81,'[1]liste reference'!A$1:S$1048576,19,FALSE())))))</f>
        <v/>
      </c>
      <c r="Q81" s="214" t="str">
        <f aca="false">IF(ISTEXT(H81),"",(B81*$B$7/100)+(C81*$C$7/100))</f>
        <v/>
      </c>
      <c r="R81" s="215" t="str">
        <f aca="false">IF(OR(ISTEXT(H81),Q81=0),"",IF(Q81&lt;0.1,1,IF(Q81&lt;1,2,IF(Q81&lt;10,3,IF(Q81&lt;50,4,IF(Q81&gt;=50,5,""))))))</f>
        <v/>
      </c>
      <c r="S81" s="215" t="n">
        <f aca="false">IF(ISERROR(R81*I81),0,R81*I81)</f>
        <v>0</v>
      </c>
      <c r="T81" s="215" t="n">
        <f aca="false">IF(ISERROR(R81*I81*J81),0,R81*I81*J81)</f>
        <v>0</v>
      </c>
      <c r="U81" s="226" t="n">
        <f aca="false">IF(ISERROR(R81*J81),0,R81*J81)</f>
        <v>0</v>
      </c>
      <c r="V81" s="216" t="str">
        <f aca="false">IF(AND(A81="",F81=0),"",IF(F81=0,"Il manque le(s) % de rec. !",""))</f>
        <v/>
      </c>
      <c r="W81" s="217"/>
      <c r="X81" s="236"/>
      <c r="Y81" s="215" t="str">
        <f aca="false">IF(A81="new.cod","NEWCOD",IF(AND((Z81=""),ISTEXT(A81)),A81,IF(Z81="","",INDEX('[1]liste reference'!$A$8:$A$904,Z81))))</f>
        <v/>
      </c>
      <c r="Z81" s="9" t="str">
        <f aca="false">IF(ISERROR(MATCH(A81,'[1]liste reference'!$A$8:$A$904,0)),IF(ISERROR(MATCH(A81,'[1]liste reference'!$B$8:$B$904,0)),"",(MATCH(A81,'[1]liste reference'!$B$8:$B$904,0))),(MATCH(A81,'[1]liste reference'!$A$8:$A$904,0)))</f>
        <v/>
      </c>
      <c r="AA81" s="218"/>
      <c r="AB81" s="219"/>
      <c r="AC81" s="219"/>
      <c r="BB81" s="9" t="str">
        <f aca="false">IF(A81="","",1)</f>
        <v/>
      </c>
    </row>
    <row r="82" customFormat="false" ht="12.75" hidden="true" customHeight="false" outlineLevel="0" collapsed="false">
      <c r="A82" s="237"/>
      <c r="B82" s="238"/>
      <c r="C82" s="239"/>
      <c r="D82" s="240" t="str">
        <f aca="false">IF(ISERROR(VLOOKUP($A82,'[1]liste reference'!$A$7:$D$904,2,0)),IF(ISERROR(VLOOKUP($A82,'[1]liste reference'!$B$7:$D$904,1,0)),"",VLOOKUP($A82,'[1]liste reference'!$B$7:$D$904,1,0)),VLOOKUP($A82,'[1]liste reference'!$A$7:$D$904,2,0))</f>
        <v/>
      </c>
      <c r="E82" s="241" t="n">
        <f aca="false">IF(D82="",0,VLOOKUP(D82,D$20:D80,1,0))</f>
        <v>0</v>
      </c>
      <c r="F82" s="242" t="n">
        <f aca="false">($B82*$B$7+$C82*$C$7)/100</f>
        <v>0</v>
      </c>
      <c r="G82" s="243" t="str">
        <f aca="false">IF(A82="","",IF(ISERROR(VLOOKUP($A82,'[1]liste reference'!$A$7:$P$904,13,0)),IF(ISERROR(VLOOKUP($A82,'[1]liste reference'!$B$7:$P$904,12,0)),"    -",VLOOKUP($A82,'[1]liste reference'!$B$7:$P$904,12,0)),VLOOKUP($A82,'[1]liste reference'!$A$7:$P$904,13,0)))</f>
        <v/>
      </c>
      <c r="H82" s="244" t="str">
        <f aca="false">IF(A82="","x",IF(ISERROR(VLOOKUP($A82,'[1]liste reference'!$A$8:$P$904,14,0)),IF(ISERROR(VLOOKUP($A82,'[1]liste reference'!$B$8:$P$904,13,0)),"x",VLOOKUP($A82,'[1]liste reference'!$B$8:$P$904,13,0)),VLOOKUP($A82,'[1]liste reference'!$A$8:$P$904,14,0)))</f>
        <v>x</v>
      </c>
      <c r="I82" s="209" t="str">
        <f aca="false">IF(ISNUMBER(H82),IF(ISERROR(VLOOKUP($A82,'[1]liste reference'!$A$7:$P$904,3,0)),IF(ISERROR(VLOOKUP($A82,'[1]liste reference'!$B$7:$P$904,2,0)),"",VLOOKUP($A82,'[1]liste reference'!$B$7:$P$904,2,0)),VLOOKUP($A82,'[1]liste reference'!$A$7:$P$904,3,0)),"")</f>
        <v/>
      </c>
      <c r="J82" s="209" t="str">
        <f aca="false">IF(ISNUMBER(H82),IF(ISERROR(VLOOKUP($A82,'[1]liste reference'!$A$7:$P$904,4,0)),IF(ISERROR(VLOOKUP($A82,'[1]liste reference'!$B$7:$P$904,3,0)),"",VLOOKUP($A82,'[1]liste reference'!$B$7:$P$904,3,0)),VLOOKUP($A82,'[1]liste reference'!$A$7:$P$904,4,0)),"")</f>
        <v/>
      </c>
      <c r="K82" s="245" t="str">
        <f aca="false">IF(A82="NEWCOD",IF(AB82="","Remplir le champs 'Nouveau taxa' svp.",$AB82),IF(ISTEXT($E82),"DEJA SAISI !",IF(A82="","",IF(ISERROR(VLOOKUP($A82,'[1]liste reference'!$A$7:$D$904,2,0)),IF(ISERROR(VLOOKUP($A82,'[1]liste reference'!$B$7:$D$904,1,0)),"code non répertorié ou synonyme",VLOOKUP($A82,'[1]liste reference'!$B$7:$D$904,1,0)),VLOOKUP(A82,'[1]liste reference'!$A$7:$D$904,2,0)))))</f>
        <v/>
      </c>
      <c r="L82" s="246"/>
      <c r="M82" s="246"/>
      <c r="N82" s="246"/>
      <c r="O82" s="247"/>
      <c r="P82" s="248" t="str">
        <f aca="false">IF($A82="NEWCOD",IF($AC82="","No",$AC82),IF(ISTEXT($E82),"DEJA SAISI !",IF($A82="","",IF(ISERROR(VLOOKUP($A82,'[1]liste reference'!A$1:S$1048576,19,FALSE())),IF(ISERROR(VLOOKUP($A82,'[1]liste reference'!B$1:S$1048576,19,FALSE())),"",VLOOKUP($A82,'[1]liste reference'!B$1:S$1048576,19,FALSE())),VLOOKUP($A82,'[1]liste reference'!A$1:S$1048576,19,FALSE())))))</f>
        <v/>
      </c>
      <c r="Q82" s="214" t="str">
        <f aca="false">IF(ISTEXT(H82),"",(B82*$B$7/100)+(C82*$C$7/100))</f>
        <v/>
      </c>
      <c r="R82" s="215" t="str">
        <f aca="false">IF(OR(ISTEXT(H82),Q82=0),"",IF(Q82&lt;0.1,1,IF(Q82&lt;1,2,IF(Q82&lt;10,3,IF(Q82&lt;50,4,IF(Q82&gt;=50,5,""))))))</f>
        <v/>
      </c>
      <c r="S82" s="215" t="n">
        <f aca="false">IF(ISERROR(R82*I82),0,R82*I82)</f>
        <v>0</v>
      </c>
      <c r="T82" s="215" t="n">
        <f aca="false">IF(ISERROR(R82*I82*J82),0,R82*I82*J82)</f>
        <v>0</v>
      </c>
      <c r="U82" s="226" t="n">
        <f aca="false">IF(ISERROR(R82*J82),0,R82*J82)</f>
        <v>0</v>
      </c>
      <c r="V82" s="216" t="str">
        <f aca="false">IF(AND(A82="",F82=0),"",IF(F82=0,"Il manque le(s) % de rec. !",""))</f>
        <v/>
      </c>
      <c r="W82" s="249"/>
      <c r="X82" s="250"/>
      <c r="Y82" s="215" t="str">
        <f aca="false">IF(A82="new.cod","NEWCOD",IF(AND((Z82=""),ISTEXT(A82)),A82,IF(Z82="","",INDEX('[1]liste reference'!$A$8:$A$904,Z82))))</f>
        <v/>
      </c>
      <c r="Z82" s="9" t="str">
        <f aca="false">IF(ISERROR(MATCH(A82,'[1]liste reference'!$A$8:$A$904,0)),IF(ISERROR(MATCH(A82,'[1]liste reference'!$B$8:$B$904,0)),"",(MATCH(A82,'[1]liste reference'!$B$8:$B$904,0))),(MATCH(A82,'[1]liste reference'!$A$8:$A$904,0)))</f>
        <v/>
      </c>
      <c r="AA82" s="218"/>
      <c r="AB82" s="219"/>
      <c r="AC82" s="219"/>
      <c r="BB82" s="9" t="str">
        <f aca="false">IF(A82="","",1)</f>
        <v/>
      </c>
    </row>
    <row r="83" customFormat="false" ht="13.8" hidden="true" customHeight="false" outlineLevel="0" collapsed="false">
      <c r="A83" s="251" t="s">
        <v>85</v>
      </c>
      <c r="B83" s="156"/>
      <c r="C83" s="156"/>
      <c r="D83" s="156"/>
      <c r="E83" s="156"/>
      <c r="F83" s="156"/>
      <c r="G83" s="156"/>
      <c r="H83" s="156"/>
      <c r="I83" s="156"/>
      <c r="J83" s="156"/>
      <c r="K83" s="156"/>
      <c r="L83" s="156"/>
      <c r="M83" s="215"/>
      <c r="N83" s="215"/>
      <c r="O83" s="215"/>
      <c r="P83" s="252"/>
      <c r="Q83" s="252"/>
      <c r="R83" s="252"/>
      <c r="S83" s="252"/>
      <c r="T83" s="9"/>
      <c r="U83" s="9"/>
      <c r="V83" s="252"/>
      <c r="W83" s="252"/>
      <c r="X83" s="252"/>
      <c r="Y83" s="253"/>
      <c r="Z83" s="253"/>
      <c r="AA83" s="253"/>
      <c r="AB83" s="254"/>
      <c r="AC83" s="254"/>
      <c r="AD83" s="254"/>
    </row>
    <row r="84" customFormat="false" ht="12.75" hidden="true" customHeight="false" outlineLevel="0" collapsed="false">
      <c r="A84" s="255" t="str">
        <f aca="false">A3</f>
        <v>MARS</v>
      </c>
      <c r="B84" s="256" t="str">
        <f aca="false">C3</f>
        <v>Vaulmier</v>
      </c>
      <c r="C84" s="257" t="n">
        <f aca="false">A4</f>
        <v>41507</v>
      </c>
      <c r="D84" s="258" t="n">
        <f aca="false">IF(ISERROR(SUM($T$23:$T$82)/SUM($U$23:$U$82)),"",SUM($T$23:$T$82)/SUM($U$23:$U$82))</f>
        <v>13.5</v>
      </c>
      <c r="E84" s="259" t="n">
        <f aca="false">N13</f>
        <v>8</v>
      </c>
      <c r="F84" s="256" t="n">
        <f aca="false">N14</f>
        <v>8</v>
      </c>
      <c r="G84" s="256" t="n">
        <f aca="false">N15</f>
        <v>3</v>
      </c>
      <c r="H84" s="256" t="n">
        <f aca="false">N16</f>
        <v>4</v>
      </c>
      <c r="I84" s="256" t="n">
        <f aca="false">N17</f>
        <v>1</v>
      </c>
      <c r="J84" s="260" t="n">
        <f aca="false">N8</f>
        <v>12.875</v>
      </c>
      <c r="K84" s="258" t="n">
        <f aca="false">N9</f>
        <v>1.96452920568771</v>
      </c>
      <c r="L84" s="259" t="n">
        <f aca="false">N10</f>
        <v>10</v>
      </c>
      <c r="M84" s="259" t="n">
        <f aca="false">N11</f>
        <v>15</v>
      </c>
      <c r="N84" s="258" t="n">
        <f aca="false">O8</f>
        <v>1.75</v>
      </c>
      <c r="O84" s="258" t="n">
        <f aca="false">O9</f>
        <v>0.661437827766148</v>
      </c>
      <c r="P84" s="259" t="n">
        <f aca="false">O10</f>
        <v>1</v>
      </c>
      <c r="Q84" s="259" t="n">
        <f aca="false">O11</f>
        <v>3</v>
      </c>
      <c r="R84" s="259" t="n">
        <f aca="false">F21</f>
        <v>0.2442</v>
      </c>
      <c r="S84" s="259" t="n">
        <f aca="false">K11</f>
        <v>0</v>
      </c>
      <c r="T84" s="259" t="n">
        <f aca="false">K12</f>
        <v>2</v>
      </c>
      <c r="U84" s="259" t="n">
        <f aca="false">K13</f>
        <v>5</v>
      </c>
      <c r="V84" s="261" t="n">
        <f aca="false">K14</f>
        <v>0</v>
      </c>
      <c r="W84" s="262" t="n">
        <f aca="false">K15</f>
        <v>1</v>
      </c>
      <c r="Z84" s="236"/>
      <c r="AA84" s="236"/>
      <c r="AB84" s="254"/>
      <c r="AC84" s="254"/>
      <c r="AD84" s="254"/>
    </row>
    <row r="85" customFormat="false" ht="12.75" hidden="true" customHeight="false" outlineLevel="0" collapsed="false">
      <c r="P85" s="9"/>
      <c r="Q85" s="9"/>
      <c r="R85" s="9"/>
      <c r="S85" s="9"/>
      <c r="T85" s="9"/>
      <c r="U85" s="9"/>
      <c r="V85" s="9"/>
    </row>
    <row r="86" customFormat="false" ht="12.75" hidden="true" customHeight="false" outlineLevel="0" collapsed="false">
      <c r="P86" s="9"/>
      <c r="Q86" s="263" t="s">
        <v>86</v>
      </c>
      <c r="R86" s="9"/>
      <c r="S86" s="216"/>
      <c r="T86" s="9"/>
      <c r="U86" s="9"/>
      <c r="V86" s="9"/>
    </row>
    <row r="87" customFormat="false" ht="12.75" hidden="true" customHeight="false" outlineLevel="0" collapsed="false">
      <c r="P87" s="9"/>
      <c r="Q87" s="9" t="s">
        <v>87</v>
      </c>
      <c r="R87" s="9"/>
      <c r="S87" s="216" t="n">
        <f aca="false">VLOOKUP(MAX($S$23:$S$82),($S$23:$U$82),1,0)</f>
        <v>28</v>
      </c>
      <c r="T87" s="9"/>
      <c r="U87" s="9"/>
      <c r="V87" s="9"/>
    </row>
    <row r="88" customFormat="false" ht="12.75" hidden="true" customHeight="false" outlineLevel="0" collapsed="false">
      <c r="P88" s="9"/>
      <c r="Q88" s="9" t="s">
        <v>88</v>
      </c>
      <c r="R88" s="9"/>
      <c r="S88" s="216" t="n">
        <f aca="false">VLOOKUP((S87),($S$23:$U$82),2,0)</f>
        <v>56</v>
      </c>
      <c r="T88" s="9"/>
      <c r="U88" s="9"/>
      <c r="V88" s="9"/>
    </row>
    <row r="89" customFormat="false" ht="12.75" hidden="true" customHeight="false" outlineLevel="0" collapsed="false">
      <c r="Q89" s="9" t="s">
        <v>89</v>
      </c>
      <c r="R89" s="9"/>
      <c r="S89" s="216" t="n">
        <f aca="false">VLOOKUP((S87),($S$23:$U$82),3,0)</f>
        <v>4</v>
      </c>
      <c r="T89" s="9"/>
    </row>
    <row r="90" customFormat="false" ht="12.75" hidden="false" customHeight="false" outlineLevel="0" collapsed="false">
      <c r="Q90" s="9" t="s">
        <v>90</v>
      </c>
      <c r="R90" s="9"/>
      <c r="S90" s="264" t="n">
        <f aca="false">IF(ISERROR(SUM($T$23:$T$82)/SUM($U$23:$U$82)),"",(SUM($T$23:$T$82)-S88)/(SUM($U$23:$U$82)-S89))</f>
        <v>13.3333333333333</v>
      </c>
      <c r="T90" s="9"/>
    </row>
    <row r="91" customFormat="false" ht="12.75" hidden="false" customHeight="false" outlineLevel="0" collapsed="false">
      <c r="Q91" s="215" t="s">
        <v>91</v>
      </c>
      <c r="R91" s="215"/>
      <c r="S91" s="215" t="str">
        <f aca="false">INDEX('[1]liste reference'!$A$8:$A$904,$T$91)</f>
        <v>GLYFLU</v>
      </c>
      <c r="T91" s="9" t="n">
        <f aca="false">IF(ISERROR(MATCH($S$93,'[1]liste reference'!$A$8:$A$904,0)),MATCH($S$93,'[1]liste reference'!$B$8:$B$904,0),(MATCH($S$93,'[1]liste reference'!$A$8:$A$904,0)))</f>
        <v>575</v>
      </c>
      <c r="U91" s="254"/>
    </row>
    <row r="92" customFormat="false" ht="12.75" hidden="false" customHeight="false" outlineLevel="0" collapsed="false">
      <c r="Q92" s="9" t="s">
        <v>92</v>
      </c>
      <c r="R92" s="9"/>
      <c r="S92" s="9" t="n">
        <f aca="false">MATCH(S87,$S$23:$S$82,0)</f>
        <v>8</v>
      </c>
      <c r="T92" s="9"/>
    </row>
    <row r="93" customFormat="false" ht="12.75" hidden="false" customHeight="false" outlineLevel="0" collapsed="false">
      <c r="Q93" s="215" t="s">
        <v>93</v>
      </c>
      <c r="R93" s="9"/>
      <c r="S93" s="215" t="str">
        <f aca="false">INDEX($A$23:$A$82,$S$92)</f>
        <v>GLYFLU</v>
      </c>
      <c r="T93" s="9"/>
    </row>
    <row r="94" customFormat="false" ht="12.75" hidden="false" customHeight="false" outlineLevel="0" collapsed="false">
      <c r="S94" s="254"/>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0">
      <formula>ISTEXT($E23)</formula>
    </cfRule>
  </conditionalFormatting>
  <conditionalFormatting sqref="H23:J82">
    <cfRule type="cellIs" priority="3" operator="equal" aboveAverage="0" equalAverage="0" bottom="0" percent="0" rank="0" text="" dxfId="1">
      <formula>"x"</formula>
    </cfRule>
  </conditionalFormatting>
  <conditionalFormatting sqref="W23:X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O23:O82 K23:K82">
    <cfRule type="cellIs" priority="7" operator="equal" aboveAverage="0" equalAverage="0" bottom="0" percent="0" rank="0" text="" dxfId="5">
      <formula>"code non répertorié ou synonyme"</formula>
    </cfRule>
    <cfRule type="expression" priority="8" aboveAverage="0" equalAverage="0" bottom="0" percent="0" rank="0" text="" dxfId="6">
      <formula>AND($I23="",$J23="")</formula>
    </cfRule>
    <cfRule type="cellIs" priority="9" operator="equal" aboveAverage="0" equalAverage="0" bottom="0" percent="0" rank="0" text="" dxfId="7">
      <formula>"DEJA SAISI !"</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conditionalFormatting sqref="K23:K82">
    <cfRule type="cellIs" priority="24" operator="equal" aboveAverage="0" equalAverage="0" bottom="0" percent="0" rank="0" text="" dxfId="22">
      <formula>"Remplir le champs 'Nouveau taxa' svp."</formula>
    </cfRule>
  </conditionalFormatting>
  <conditionalFormatting sqref="P23:P82">
    <cfRule type="cellIs" priority="25" operator="equal" aboveAverage="0" equalAverage="0" bottom="0" percent="0" rank="0" text="" dxfId="23">
      <formula>"code non répertorié ou synonyme"</formula>
    </cfRule>
    <cfRule type="expression" priority="26" aboveAverage="0" equalAverage="0" bottom="0" percent="0" rank="0" text="" dxfId="24">
      <formula>AND($I23="",$J23="")</formula>
    </cfRule>
    <cfRule type="cellIs" priority="27" operator="equal" aboveAverage="0" equalAverage="0" bottom="0" percent="0" rank="0" text="" dxfId="25">
      <formula>"DEJA SAISI !"</formula>
    </cfRule>
  </conditionalFormatting>
  <dataValidations count="9">
    <dataValidation allowBlank="true" errorStyle="stop" operator="between" showDropDown="false" showErrorMessage="false" showInputMessage="false" sqref="A23:A82" type="list">
      <formula1>#nom ?</formula1>
      <formula2>0</formula2>
    </dataValidation>
    <dataValidation allowBlank="true" error="sélectionner un des types de faciès de la liste." errorStyle="warning" errorTitle="ATTENTION :" operator="between" showDropDown="false" showErrorMessage="true" showInputMessage="false" sqref="B6:C6" type="list">
      <formula1>#nom ?</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true" error="saisir un nombre compris entre 0 et 100 %" errorStyle="stop" operator="between" showDropDown="false" showErrorMessage="true" showInputMessage="false" sqref="B10:C10" type="list">
      <formula1>#nom ?</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#nom ?</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2024-04-30T10:21:04Z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