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9400" sheetId="1" state="visible" r:id="rId3"/>
  </sheets>
  <externalReferences>
    <externalReference r:id="rId4"/>
  </externalReferences>
  <definedNames>
    <definedName function="false" hidden="false" localSheetId="0" name="Excel_BuiltIn_Print_Area" vbProcedure="false">'069400'!$A$1:$O$82</definedName>
    <definedName function="false" hidden="false" localSheetId="0" name="Excel_BuiltIn__FilterDatabase" vbProcedure="false">'069400'!$A$23:$J$84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<sst xmlns="http://schemas.openxmlformats.org/spreadsheetml/2006/main" count="98" uniqueCount="94">
  <si>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</si>
  <si>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</si>
  <si>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</si>
  <si>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</si>
  <si>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</si>
  <si>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DORDOGNE</t>
  </si>
  <si>
    <t xml:space="preserve">Singles</t>
  </si>
  <si>
    <t xml:space="preserve">05069400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</si>
  <si>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</si>
  <si>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</si>
  <si>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</si>
  <si>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</si>
  <si>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</si>
  <si>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</si>
  <si>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</si>
  <si>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</si>
  <si>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</si>
  <si>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</si>
  <si>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</si>
  <si>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</si>
  <si>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</si>
  <si>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</si>
  <si>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</si>
  <si>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</si>
  <si>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</si>
  <si>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</si>
  <si>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</si>
  <si>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</si>
  <si>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</si>
  <si>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</si>
  <si>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</si>
  <si>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</si>
  <si>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</si>
  <si>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</si>
  <si>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</si>
  <si>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</si>
  <si>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</si>
  <si>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</si>
  <si>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</si>
  <si>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</si>
  <si>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</si>
  <si>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</si>
  <si>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</si>
  <si>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</si>
  <si>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</si>
  <si>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</si>
  <si>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</si>
  <si>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</si>
  <si>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</si>
  <si>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</si>
  <si>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</si>
  <si>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</si>
  <si>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</si>
  <si>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</si>
  <si>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</si>
  <si>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</si>
  <si>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</si>
  <si>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</si>
  <si>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</si>
  <si>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(3,9 %)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</si>
  <si>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</si>
  <si>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</si>
  <si>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</si>
  <si>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</si>
  <si>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</si>
  <si>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</si>
  <si>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</si>
  <si>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</si>
  <si>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</si>
  <si>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</si>
  <si>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</si>
  <si>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</si>
  <si>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</si>
  <si>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</si>
  <si>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</si>
  <si>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</si>
  <si>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</si>
  <si>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</si>
  <si>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</si>
  <si>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</si>
  <si>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</si>
  <si>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LEASPX</t>
  </si>
  <si>
    <t xml:space="preserve">PHOSPX</t>
  </si>
  <si>
    <t xml:space="preserve">CHIPOL</t>
  </si>
  <si>
    <t xml:space="preserve">FONANT</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</si>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</sst>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2">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CF305"/>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17"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9" fillId="10" borderId="30" xfId="0" applyFont="true" applyBorder="true" applyAlignment="true" applyProtection="true">
      <alignment horizontal="center" vertical="top" textRotation="0" wrapText="false" indent="0" shrinkToFit="false"/>
      <protection locked="true" hidden="true"/>
    </xf>
    <xf numFmtId="164" fontId="20" fillId="4" borderId="17" xfId="0" applyFont="true" applyBorder="true" applyAlignment="true" applyProtection="true">
      <alignment horizontal="center" vertical="top" textRotation="0" wrapText="false" indent="0" shrinkToFit="false"/>
      <protection locked="true" hidden="true"/>
    </xf>
    <xf numFmtId="164" fontId="21"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3" fillId="8" borderId="31" xfId="0" applyFont="true" applyBorder="true" applyAlignment="true" applyProtection="true">
      <alignment horizontal="left" vertical="top" textRotation="0" wrapText="false" indent="0" shrinkToFit="false"/>
      <protection locked="true" hidden="true"/>
    </xf>
    <xf numFmtId="164" fontId="24" fillId="8" borderId="13" xfId="0" applyFont="true" applyBorder="true" applyAlignment="true" applyProtection="true">
      <alignment horizontal="left" vertical="top" textRotation="0" wrapText="false" indent="0" shrinkToFit="false"/>
      <protection locked="true" hidden="true"/>
    </xf>
    <xf numFmtId="164" fontId="24" fillId="8" borderId="32" xfId="0" applyFont="true" applyBorder="true" applyAlignment="true" applyProtection="true">
      <alignment horizontal="left" vertical="top" textRotation="0" wrapText="false" indent="0" shrinkToFit="false"/>
      <protection locked="true" hidden="true"/>
    </xf>
    <xf numFmtId="164" fontId="24"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5"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6" fillId="7" borderId="2" xfId="0" applyFont="true" applyBorder="true" applyAlignment="true" applyProtection="true">
      <alignment horizontal="right" vertical="bottom" textRotation="0" wrapText="false" indent="0" shrinkToFit="false"/>
      <protection locked="true" hidden="true"/>
    </xf>
    <xf numFmtId="170" fontId="26"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7" fillId="9" borderId="18" xfId="0" applyFont="true" applyBorder="true" applyAlignment="true" applyProtection="true">
      <alignment horizontal="general" vertical="bottom" textRotation="0" wrapText="false" indent="0" shrinkToFit="false"/>
      <protection locked="true" hidden="true"/>
    </xf>
    <xf numFmtId="164" fontId="17" fillId="11" borderId="6" xfId="0" applyFont="true" applyBorder="true" applyAlignment="true" applyProtection="true">
      <alignment horizontal="center" vertical="bottom" textRotation="0" wrapText="false" indent="0" shrinkToFit="false"/>
      <protection locked="false" hidden="false"/>
    </xf>
    <xf numFmtId="167" fontId="17" fillId="11"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5"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1" borderId="39" xfId="0" applyFont="true" applyBorder="true" applyAlignment="true" applyProtection="true">
      <alignment horizontal="center" vertical="bottom" textRotation="0" wrapText="false" indent="0" shrinkToFit="false"/>
      <protection locked="false" hidden="false"/>
    </xf>
    <xf numFmtId="167" fontId="17" fillId="11"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1" borderId="43" xfId="0" applyFont="true" applyBorder="true" applyAlignment="true" applyProtection="true">
      <alignment horizontal="center" vertical="bottom" textRotation="0" wrapText="false" indent="0" shrinkToFit="false"/>
      <protection locked="false" hidden="false"/>
    </xf>
    <xf numFmtId="167" fontId="17"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3"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4"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1" borderId="49" xfId="0" applyFont="true" applyBorder="true" applyAlignment="true" applyProtection="true">
      <alignment horizontal="center" vertical="bottom" textRotation="0" wrapText="false" indent="0" shrinkToFit="false"/>
      <protection locked="false" hidden="false"/>
    </xf>
    <xf numFmtId="167" fontId="17"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1" borderId="52" xfId="0" applyFont="true" applyBorder="true" applyAlignment="true" applyProtection="true">
      <alignment horizontal="center" vertical="bottom" textRotation="0" wrapText="false" indent="0" shrinkToFit="false"/>
      <protection locked="false" hidden="false"/>
    </xf>
    <xf numFmtId="167" fontId="17"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28" fillId="7" borderId="1" xfId="0" applyFont="true" applyBorder="true" applyAlignment="true" applyProtection="true">
      <alignment horizontal="general" vertical="bottom" textRotation="0" wrapText="false" indent="0" shrinkToFit="false"/>
      <protection locked="true" hidden="true"/>
    </xf>
    <xf numFmtId="164" fontId="28"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4" fontId="30"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30"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8"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1" fillId="9" borderId="0" xfId="0" applyFont="true" applyBorder="true" applyAlignment="true" applyProtection="true">
      <alignment horizontal="general" vertical="bottom" textRotation="0" wrapText="false" indent="0" shrinkToFit="false"/>
      <protection locked="true" hidden="true"/>
    </xf>
    <xf numFmtId="164" fontId="31" fillId="9" borderId="13" xfId="0" applyFont="true" applyBorder="true" applyAlignment="true" applyProtection="true">
      <alignment horizontal="general" vertical="bottom" textRotation="0" wrapText="false" indent="0" shrinkToFit="false"/>
      <protection locked="true" hidden="true"/>
    </xf>
    <xf numFmtId="164" fontId="31"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30" fillId="9" borderId="18" xfId="0" applyFont="true" applyBorder="true" applyAlignment="true" applyProtection="true">
      <alignment horizontal="center" vertical="bottom" textRotation="0" wrapText="false" indent="0" shrinkToFit="false"/>
      <protection locked="true" hidden="true"/>
    </xf>
    <xf numFmtId="170" fontId="30"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3"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2"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30" fillId="7" borderId="62" xfId="0" applyFont="true" applyBorder="true" applyAlignment="true" applyProtection="true">
      <alignment horizontal="right" vertical="bottom" textRotation="0" wrapText="false" indent="0" shrinkToFit="false"/>
      <protection locked="true" hidden="true"/>
    </xf>
    <xf numFmtId="168" fontId="30"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30" fillId="3" borderId="0" xfId="0" applyFont="true" applyBorder="false" applyAlignment="true" applyProtection="true">
      <alignment horizontal="general" vertical="bottom" textRotation="0" wrapText="false" indent="0" shrinkToFit="false"/>
      <protection locked="true" hidden="true"/>
    </xf>
    <xf numFmtId="164" fontId="31"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1"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30"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2"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2"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2"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30" fillId="7" borderId="64" xfId="0" applyFont="true" applyBorder="true" applyAlignment="true" applyProtection="true">
      <alignment horizontal="right" vertical="bottom" textRotation="0" wrapText="false" indent="0" shrinkToFit="false"/>
      <protection locked="true" hidden="true"/>
    </xf>
    <xf numFmtId="164" fontId="30" fillId="7" borderId="64" xfId="0" applyFont="true" applyBorder="true" applyAlignment="true" applyProtection="true">
      <alignment horizontal="right" vertical="bottom" textRotation="0" wrapText="false" indent="0" shrinkToFit="false"/>
      <protection locked="true" hidden="false"/>
    </xf>
    <xf numFmtId="164" fontId="31"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42251</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11.8666666666667</v>
      </c>
      <c r="M5" s="52"/>
      <c r="N5" s="53" t="s">
        <v>16</v>
      </c>
      <c r="O5" s="54" t="n">
        <v>11.8333333333333</v>
      </c>
      <c r="P5" s="55"/>
      <c r="Q5" s="9"/>
      <c r="R5" s="9"/>
      <c r="S5" s="9"/>
      <c r="T5" s="9"/>
      <c r="U5" s="9"/>
      <c r="V5" s="9"/>
      <c r="W5" s="21"/>
      <c r="X5" s="41"/>
    </row>
    <row r="6" customFormat="false" ht="12.6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6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6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11.8571428571429</v>
      </c>
      <c r="O8" s="83" t="n">
        <f aca="false">IF(ISERROR(AVERAGE(J23:J82)),"      -",AVERAGE(J23:J82))</f>
        <v>1.57142857142857</v>
      </c>
      <c r="P8" s="84"/>
      <c r="Q8" s="9"/>
      <c r="R8" s="9"/>
      <c r="S8" s="9"/>
      <c r="T8" s="9"/>
      <c r="U8" s="9"/>
      <c r="V8" s="9"/>
      <c r="W8" s="21"/>
      <c r="X8" s="22"/>
    </row>
    <row r="9" customFormat="false" ht="12.65" hidden="false" customHeight="false" outlineLevel="0" collapsed="false">
      <c r="A9" s="42" t="s">
        <v>28</v>
      </c>
      <c r="B9" s="85" t="n">
        <v>3.9</v>
      </c>
      <c r="C9" s="86"/>
      <c r="D9" s="87"/>
      <c r="E9" s="87"/>
      <c r="F9" s="88" t="n">
        <f aca="false">($B9*$B$7+$C9*$C$7)/100</f>
        <v>3.9</v>
      </c>
      <c r="G9" s="89"/>
      <c r="H9" s="90"/>
      <c r="I9" s="91"/>
      <c r="J9" s="92"/>
      <c r="K9" s="72"/>
      <c r="L9" s="93"/>
      <c r="M9" s="82" t="s">
        <v>29</v>
      </c>
      <c r="N9" s="83" t="n">
        <f aca="false">IF(ISERROR(STDEVP(I23:I82)),"     -",STDEVP(I23:I82))</f>
        <v>2.89968330431206</v>
      </c>
      <c r="O9" s="83" t="n">
        <f aca="false">IF(ISERROR(STDEVP(J23:J82)),"      -",STDEVP(J23:J82))</f>
        <v>0.494871659305394</v>
      </c>
      <c r="P9" s="84"/>
      <c r="Q9" s="9"/>
      <c r="R9" s="9"/>
      <c r="S9" s="9"/>
      <c r="T9" s="9"/>
      <c r="U9" s="9"/>
      <c r="V9" s="9"/>
      <c r="W9" s="94"/>
      <c r="X9" s="95"/>
    </row>
    <row r="10" customFormat="false" ht="12.6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6</v>
      </c>
      <c r="O10" s="105" t="n">
        <f aca="false">MIN(J23:J82)</f>
        <v>1</v>
      </c>
      <c r="P10" s="106"/>
      <c r="Q10" s="9"/>
      <c r="R10" s="9"/>
      <c r="S10" s="9"/>
      <c r="T10" s="9"/>
      <c r="U10" s="9"/>
      <c r="V10" s="9"/>
    </row>
    <row r="11" customFormat="false" ht="12.6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2</v>
      </c>
      <c r="P11" s="106"/>
      <c r="Q11" s="9"/>
      <c r="R11" s="9"/>
      <c r="S11" s="9"/>
      <c r="T11" s="9"/>
      <c r="U11" s="9"/>
      <c r="V11" s="9"/>
    </row>
    <row r="12" customFormat="false" ht="12.65" hidden="false" customHeight="false" outlineLevel="0" collapsed="false">
      <c r="A12" s="116" t="s">
        <v>37</v>
      </c>
      <c r="B12" s="117"/>
      <c r="C12" s="118"/>
      <c r="D12" s="110"/>
      <c r="E12" s="110"/>
      <c r="F12" s="111" t="n">
        <f aca="false">($B12*$B$7+$C12*$C$7)/100</f>
        <v>0</v>
      </c>
      <c r="G12" s="119"/>
      <c r="H12" s="67"/>
      <c r="I12" s="120" t="s">
        <v>38</v>
      </c>
      <c r="J12" s="120"/>
      <c r="K12" s="114" t="n">
        <f aca="false">COUNTIF($G$23:$G$82,"=ALG")</f>
        <v>4</v>
      </c>
      <c r="L12" s="121"/>
      <c r="M12" s="122"/>
      <c r="N12" s="123" t="s">
        <v>32</v>
      </c>
      <c r="O12" s="124"/>
      <c r="P12" s="125"/>
      <c r="Q12" s="9"/>
      <c r="R12" s="9"/>
      <c r="S12" s="9"/>
      <c r="T12" s="9"/>
      <c r="U12" s="9"/>
      <c r="V12" s="9"/>
    </row>
    <row r="13" customFormat="false" ht="12.65" hidden="false" customHeight="false" outlineLevel="0" collapsed="false">
      <c r="A13" s="116" t="s">
        <v>39</v>
      </c>
      <c r="B13" s="117"/>
      <c r="C13" s="118"/>
      <c r="D13" s="110"/>
      <c r="E13" s="110"/>
      <c r="F13" s="111" t="n">
        <f aca="false">($B13*$B$7+$C13*$C$7)/100</f>
        <v>0</v>
      </c>
      <c r="G13" s="119"/>
      <c r="H13" s="67"/>
      <c r="I13" s="120" t="s">
        <v>40</v>
      </c>
      <c r="J13" s="120"/>
      <c r="K13" s="114" t="n">
        <f aca="false">COUNTIF($G$23:$G$82,"=BRm")+COUNTIF($G$23:$G$82,"=BRh")</f>
        <v>3</v>
      </c>
      <c r="L13" s="115"/>
      <c r="M13" s="126" t="s">
        <v>41</v>
      </c>
      <c r="N13" s="127" t="n">
        <f aca="false">COUNTIF(F23:F82,"&gt;0")</f>
        <v>7</v>
      </c>
      <c r="O13" s="128"/>
      <c r="P13" s="129"/>
      <c r="Q13" s="9"/>
      <c r="R13" s="9"/>
      <c r="S13" s="9"/>
      <c r="T13" s="9"/>
      <c r="U13" s="9"/>
      <c r="V13" s="9"/>
    </row>
    <row r="14" customFormat="false" ht="12.6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7</v>
      </c>
      <c r="O14" s="132"/>
      <c r="P14" s="129"/>
      <c r="Q14" s="9"/>
      <c r="R14" s="9"/>
      <c r="S14" s="9"/>
      <c r="T14" s="9"/>
      <c r="U14" s="9"/>
      <c r="V14" s="9"/>
    </row>
    <row r="15" customFormat="false" ht="12.6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3</v>
      </c>
      <c r="O15" s="138"/>
      <c r="P15" s="129"/>
      <c r="Q15" s="9"/>
      <c r="R15" s="9"/>
      <c r="S15" s="9"/>
      <c r="T15" s="9"/>
      <c r="U15" s="9"/>
      <c r="V15" s="9"/>
    </row>
    <row r="16" customFormat="false" ht="12.6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4</v>
      </c>
      <c r="O16" s="138"/>
      <c r="P16" s="129"/>
      <c r="Q16" s="9"/>
      <c r="R16" s="9"/>
      <c r="S16" s="9"/>
      <c r="T16" s="9"/>
      <c r="U16" s="9"/>
      <c r="V16" s="9"/>
    </row>
    <row r="17" customFormat="false" ht="12.65" hidden="false" customHeight="false" outlineLevel="0" collapsed="false">
      <c r="A17" s="116" t="s">
        <v>50</v>
      </c>
      <c r="B17" s="117"/>
      <c r="C17" s="118"/>
      <c r="D17" s="110"/>
      <c r="E17" s="110"/>
      <c r="F17" s="142"/>
      <c r="G17" s="111" t="n">
        <f aca="false">($B17*$B$7+$C17*$C$7)/100</f>
        <v>0</v>
      </c>
      <c r="H17" s="67"/>
      <c r="I17" s="120"/>
      <c r="J17" s="120"/>
      <c r="K17" s="141"/>
      <c r="L17" s="115"/>
      <c r="M17" s="136" t="s">
        <v>51</v>
      </c>
      <c r="N17" s="137" t="n">
        <f aca="false">COUNTIF(J23:J82,"=3")</f>
        <v>0</v>
      </c>
      <c r="O17" s="138"/>
      <c r="P17" s="129"/>
      <c r="Q17" s="9"/>
      <c r="R17" s="9"/>
      <c r="S17" s="9"/>
      <c r="T17" s="9"/>
      <c r="U17" s="9"/>
      <c r="V17" s="9"/>
    </row>
    <row r="18" customFormat="false" ht="12.65" hidden="false" customHeight="false" outlineLevel="0" collapsed="false">
      <c r="A18" s="143" t="s">
        <v>52</v>
      </c>
      <c r="B18" s="144"/>
      <c r="C18" s="145"/>
      <c r="D18" s="110"/>
      <c r="E18" s="146" t="s">
        <v>53</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54</v>
      </c>
      <c r="B20" s="164" t="n">
        <f aca="false">SUM(B23:B82)</f>
        <v>3.9</v>
      </c>
      <c r="C20" s="165" t="n">
        <f aca="false">SUM(C23:C82)</f>
        <v>0</v>
      </c>
      <c r="D20" s="166"/>
      <c r="E20" s="167" t="s">
        <v>53</v>
      </c>
      <c r="F20" s="168" t="n">
        <f aca="false">($B20*$B$7+$C20*$C$7)/100</f>
        <v>3.9</v>
      </c>
      <c r="G20" s="169"/>
      <c r="H20" s="170"/>
      <c r="I20" s="171"/>
      <c r="J20" s="171"/>
      <c r="K20" s="172"/>
      <c r="L20" s="46"/>
      <c r="M20" s="173"/>
      <c r="N20" s="173"/>
      <c r="O20" s="174"/>
      <c r="P20" s="175"/>
      <c r="Q20" s="176" t="s">
        <v>55</v>
      </c>
      <c r="R20" s="9"/>
      <c r="S20" s="9"/>
      <c r="T20" s="9"/>
      <c r="U20" s="9"/>
      <c r="V20" s="9"/>
      <c r="W20" s="149" t="s">
        <v>56</v>
      </c>
    </row>
    <row r="21" customFormat="false" ht="12.65" hidden="false" customHeight="false" outlineLevel="0" collapsed="false">
      <c r="A21" s="177" t="s">
        <v>57</v>
      </c>
      <c r="B21" s="178" t="n">
        <f aca="false">B20*B7/100</f>
        <v>3.9</v>
      </c>
      <c r="C21" s="178" t="n">
        <f aca="false">C20*C7/100</f>
        <v>0</v>
      </c>
      <c r="D21" s="110" t="str">
        <f aca="false">IF(F21=0,"",IF((ABS(F21-F19))&gt;(0.2*F21),CONCATENATE(" rec. par taxa (",F21," %) supérieur à 20 % !"),""))</f>
        <v> rec. par taxa (3,9 %) supérieur à 20 % !</v>
      </c>
      <c r="E21" s="179" t="str">
        <f aca="false">IF(F21=0,"",IF((ABS(F21-F19))&gt;(0.2*F21),CONCATENATE("ATTENTION : écart entre rec. par grp (",F19," %) ","et",""),""))</f>
        <v>ATTENTION : écart entre rec. par grp (0 %) et</v>
      </c>
      <c r="F21" s="180" t="n">
        <f aca="false">B21+C21</f>
        <v>3.9</v>
      </c>
      <c r="G21" s="181"/>
      <c r="H21" s="110"/>
      <c r="I21" s="182"/>
      <c r="J21" s="182"/>
      <c r="K21" s="183"/>
      <c r="L21" s="183"/>
      <c r="M21" s="184"/>
      <c r="N21" s="184"/>
      <c r="O21" s="185"/>
      <c r="P21" s="186"/>
      <c r="Q21" s="187" t="s">
        <v>58</v>
      </c>
      <c r="R21" s="9"/>
      <c r="S21" s="9"/>
      <c r="T21" s="9"/>
      <c r="U21" s="9"/>
      <c r="V21" s="9"/>
      <c r="W21" s="149" t="s">
        <v>59</v>
      </c>
    </row>
    <row r="22" customFormat="false" ht="12.6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9" t="s">
        <v>74</v>
      </c>
      <c r="Z22" s="9" t="s">
        <v>75</v>
      </c>
      <c r="AA22" s="201" t="s">
        <v>76</v>
      </c>
      <c r="AB22" s="201" t="s">
        <v>77</v>
      </c>
      <c r="AC22" s="202" t="s">
        <v>78</v>
      </c>
    </row>
    <row r="23" customFormat="false" ht="12.65" hidden="false" customHeight="false" outlineLevel="0" collapsed="false">
      <c r="A23" s="203" t="s">
        <v>79</v>
      </c>
      <c r="B23" s="204" t="n">
        <v>0.22</v>
      </c>
      <c r="C23" s="205"/>
      <c r="D23" s="206" t="str">
        <f aca="false">IF(ISERROR(VLOOKUP($A23,'[1]liste reference'!$A$7:$D$904,2,0)),IF(ISERROR(VLOOKUP($A23,'[1]liste reference'!$B$7:$D$904,1,0)),"",VLOOKUP($A23,'[1]liste reference'!$B$7:$D$904,1,0)),VLOOKUP($A23,'[1]liste reference'!$A$7:$D$904,2,0))</f>
        <v>Cladophora sp.</v>
      </c>
      <c r="E23" s="206" t="e">
        <f aca="false">IF(D23="",0,VLOOKUP(D23,D$22:D22,1,0))</f>
        <v>#N/A</v>
      </c>
      <c r="F23" s="207" t="n">
        <f aca="false">($B23*$B$7+$C23*$C$7)/100</f>
        <v>0.22</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6</v>
      </c>
      <c r="J23" s="210" t="n">
        <f aca="false">IF(ISNUMBER(H23),IF(ISERROR(VLOOKUP($A23,'[1]liste reference'!$A$7:$P$904,4,0)),IF(ISERROR(VLOOKUP($A23,'[1]liste reference'!$B$7:$P$904,3,0)),"",VLOOKUP($A23,'[1]liste reference'!$B$7:$P$904,3,0)),VLOOKUP($A23,'[1]liste reference'!$A$7:$P$904,4,0)),"")</f>
        <v>1</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0.22</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str">
        <f aca="false">IF(AND(A23="",F23=0),"",IF(F23=0,"Il manque le(s) % de rec. !",""))</f>
        <v/>
      </c>
      <c r="W23" s="218"/>
      <c r="Y23" s="216" t="str">
        <f aca="false">IF(A23="new.cod","NEWCOD",IF(AND((Z23=""),ISTEXT(A23)),A23,IF(Z23="","",INDEX('[1]liste reference'!$A$8:$A$904,Z23))))</f>
        <v>CLASPX</v>
      </c>
      <c r="Z23" s="9" t="n">
        <f aca="false">IF(ISERROR(MATCH(A23,'[1]liste reference'!$A$8:$A$904,0)),IF(ISERROR(MATCH(A23,'[1]liste reference'!$B$8:$B$904,0)),"",(MATCH(A23,'[1]liste reference'!$B$8:$B$904,0))),(MATCH(A23,'[1]liste reference'!$A$8:$A$904,0)))</f>
        <v>23</v>
      </c>
      <c r="AA23" s="219"/>
      <c r="AB23" s="220"/>
      <c r="AC23" s="220"/>
      <c r="BB23" s="9" t="n">
        <f aca="false">IF(A23="","",1)</f>
        <v>1</v>
      </c>
    </row>
    <row r="24" customFormat="false" ht="12.65" hidden="false" customHeight="false" outlineLevel="0" collapsed="false">
      <c r="A24" s="221" t="s">
        <v>80</v>
      </c>
      <c r="B24" s="222" t="n">
        <v>0.01</v>
      </c>
      <c r="C24" s="223"/>
      <c r="D24" s="206" t="str">
        <f aca="false">IF(ISERROR(VLOOKUP($A24,'[1]liste reference'!$A$7:$D$904,2,0)),IF(ISERROR(VLOOKUP($A24,'[1]liste reference'!$B$7:$D$904,1,0)),"",VLOOKUP($A24,'[1]liste reference'!$B$7:$D$904,1,0)),VLOOKUP($A24,'[1]liste reference'!$A$7:$D$904,2,0))</f>
        <v>Diatoma sp.</v>
      </c>
      <c r="E24" s="224" t="e">
        <f aca="false">IF(D24="",0,VLOOKUP(D24,D$22:D23,1,0))</f>
        <v>#N/A</v>
      </c>
      <c r="F24" s="225" t="n">
        <f aca="false">($B24*$B$7+$C24*$C$7)/100</f>
        <v>0.01</v>
      </c>
      <c r="G24" s="208" t="str">
        <f aca="false">IF(A24="","",IF(ISERROR(VLOOKUP($A24,'[1]liste reference'!$A$7:$P$904,13,0)),IF(ISERROR(VLOOKUP($A24,'[1]liste reference'!$B$7:$P$904,12,0)),"    -",VLOOKUP($A24,'[1]liste reference'!$B$7:$P$904,12,0)),VLOOKUP($A24,'[1]liste reference'!$A$7:$P$904,13,0)))</f>
        <v>ALG</v>
      </c>
      <c r="H24" s="209" t="n">
        <f aca="false">IF(A24="","x",IF(ISERROR(VLOOKUP($A24,'[1]liste reference'!$A$8:$P$904,14,0)),IF(ISERROR(VLOOKUP($A24,'[1]liste reference'!$B$8:$P$904,13,0)),"x",VLOOKUP($A24,'[1]liste reference'!$B$8:$P$904,13,0)),VLOOKUP($A24,'[1]liste reference'!$A$8:$P$904,14,0)))</f>
        <v>2</v>
      </c>
      <c r="I24" s="210" t="n">
        <f aca="false">IF(ISNUMBER(H24),IF(ISERROR(VLOOKUP($A24,'[1]liste reference'!$A$7:$P$904,3,0)),IF(ISERROR(VLOOKUP($A24,'[1]liste reference'!$B$7:$P$904,2,0)),"",VLOOKUP($A24,'[1]liste reference'!$B$7:$P$904,2,0)),VLOOKUP($A24,'[1]liste reference'!$A$7:$P$904,3,0)),"")</f>
        <v>12</v>
      </c>
      <c r="J24" s="210" t="n">
        <f aca="false">IF(ISNUMBER(H24),IF(ISERROR(VLOOKUP($A24,'[1]liste reference'!$A$7:$P$904,4,0)),IF(ISERROR(VLOOKUP($A24,'[1]liste reference'!$B$7:$P$904,3,0)),"",VLOOKUP($A24,'[1]liste reference'!$B$7:$P$904,3,0)),VLOOKUP($A24,'[1]liste reference'!$A$7:$P$904,4,0)),"")</f>
        <v>2</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Diatoma sp.</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0.01</v>
      </c>
      <c r="R24" s="216" t="n">
        <f aca="false">IF(OR(ISTEXT(H24),Q24=0),"",IF(Q24&lt;0.1,1,IF(Q24&lt;1,2,IF(Q24&lt;10,3,IF(Q24&lt;50,4,IF(Q24&gt;=50,5,""))))))</f>
        <v>1</v>
      </c>
      <c r="S24" s="216" t="n">
        <f aca="false">IF(ISERROR(R24*I24),0,R24*I24)</f>
        <v>12</v>
      </c>
      <c r="T24" s="216" t="n">
        <f aca="false">IF(ISERROR(R24*I24*J24),0,R24*I24*J24)</f>
        <v>24</v>
      </c>
      <c r="U24" s="227" t="n">
        <f aca="false">IF(ISERROR(R24*J24),0,R24*J24)</f>
        <v>2</v>
      </c>
      <c r="V24" s="217" t="str">
        <f aca="false">IF(AND(A24="",F24=0),"",IF(F24=0,"Il manque le(s) % de rec. !",""))</f>
        <v/>
      </c>
      <c r="W24" s="228"/>
      <c r="Y24" s="216" t="str">
        <f aca="false">IF(A24="new.cod","NEWCOD",IF(AND((Z24=""),ISTEXT(A24)),A24,IF(Z24="","",INDEX('[1]liste reference'!$A$8:$A$904,Z24))))</f>
        <v>DIASPX</v>
      </c>
      <c r="Z24" s="9" t="n">
        <f aca="false">IF(ISERROR(MATCH(A24,'[1]liste reference'!$A$8:$A$904,0)),IF(ISERROR(MATCH(A24,'[1]liste reference'!$B$8:$B$904,0)),"",(MATCH(A24,'[1]liste reference'!$B$8:$B$904,0))),(MATCH(A24,'[1]liste reference'!$A$8:$A$904,0)))</f>
        <v>26</v>
      </c>
      <c r="AA24" s="219"/>
      <c r="AB24" s="220"/>
      <c r="AC24" s="220"/>
      <c r="BB24" s="9" t="n">
        <f aca="false">IF(A24="","",1)</f>
        <v>1</v>
      </c>
    </row>
    <row r="25" customFormat="false" ht="12.65" hidden="false" customHeight="false" outlineLevel="0" collapsed="false">
      <c r="A25" s="221" t="s">
        <v>81</v>
      </c>
      <c r="B25" s="222" t="n">
        <v>0.01</v>
      </c>
      <c r="C25" s="223"/>
      <c r="D25" s="206" t="str">
        <f aca="false">IF(ISERROR(VLOOKUP($A25,'[1]liste reference'!$A$7:$D$904,2,0)),IF(ISERROR(VLOOKUP($A25,'[1]liste reference'!$B$7:$D$904,1,0)),"",VLOOKUP($A25,'[1]liste reference'!$B$7:$D$904,1,0)),VLOOKUP($A25,'[1]liste reference'!$A$7:$D$904,2,0))</f>
        <v>Lemanea sp.</v>
      </c>
      <c r="E25" s="224" t="e">
        <f aca="false">IF(D25="",0,VLOOKUP(D25,D$22:D24,1,0))</f>
        <v>#N/A</v>
      </c>
      <c r="F25" s="225" t="n">
        <f aca="false">($B25*$B$7+$C25*$C$7)/100</f>
        <v>0.01</v>
      </c>
      <c r="G25" s="208" t="str">
        <f aca="false">IF(A25="","",IF(ISERROR(VLOOKUP($A25,'[1]liste reference'!$A$7:$P$904,13,0)),IF(ISERROR(VLOOKUP($A25,'[1]liste reference'!$B$7:$P$904,12,0)),"    -",VLOOKUP($A25,'[1]liste reference'!$B$7:$P$904,12,0)),VLOOKUP($A25,'[1]liste reference'!$A$7:$P$904,13,0)))</f>
        <v>ALG</v>
      </c>
      <c r="H25" s="209" t="n">
        <f aca="false">IF(A25="","x",IF(ISERROR(VLOOKUP($A25,'[1]liste reference'!$A$8:$P$904,14,0)),IF(ISERROR(VLOOKUP($A25,'[1]liste reference'!$B$8:$P$904,13,0)),"x",VLOOKUP($A25,'[1]liste reference'!$B$8:$P$904,13,0)),VLOOKUP($A25,'[1]liste reference'!$A$8:$P$904,14,0)))</f>
        <v>2</v>
      </c>
      <c r="I25" s="210" t="n">
        <f aca="false">IF(ISNUMBER(H25),IF(ISERROR(VLOOKUP($A25,'[1]liste reference'!$A$7:$P$904,3,0)),IF(ISERROR(VLOOKUP($A25,'[1]liste reference'!$B$7:$P$904,2,0)),"",VLOOKUP($A25,'[1]liste reference'!$B$7:$P$904,2,0)),VLOOKUP($A25,'[1]liste reference'!$A$7:$P$904,3,0)),"")</f>
        <v>15</v>
      </c>
      <c r="J25" s="210" t="n">
        <f aca="false">IF(ISNUMBER(H25),IF(ISERROR(VLOOKUP($A25,'[1]liste reference'!$A$7:$P$904,4,0)),IF(ISERROR(VLOOKUP($A25,'[1]liste reference'!$B$7:$P$904,3,0)),"",VLOOKUP($A25,'[1]liste reference'!$B$7:$P$904,3,0)),VLOOKUP($A25,'[1]liste reference'!$A$7:$P$904,4,0)),"")</f>
        <v>2</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Lemanea sp.</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1159</v>
      </c>
      <c r="Q25" s="215" t="n">
        <f aca="false">IF(ISTEXT(H25),"",(B25*$B$7/100)+(C25*$C$7/100))</f>
        <v>0.01</v>
      </c>
      <c r="R25" s="216" t="n">
        <f aca="false">IF(OR(ISTEXT(H25),Q25=0),"",IF(Q25&lt;0.1,1,IF(Q25&lt;1,2,IF(Q25&lt;10,3,IF(Q25&lt;50,4,IF(Q25&gt;=50,5,""))))))</f>
        <v>1</v>
      </c>
      <c r="S25" s="216" t="n">
        <f aca="false">IF(ISERROR(R25*I25),0,R25*I25)</f>
        <v>15</v>
      </c>
      <c r="T25" s="216" t="n">
        <f aca="false">IF(ISERROR(R25*I25*J25),0,R25*I25*J25)</f>
        <v>30</v>
      </c>
      <c r="U25" s="227" t="n">
        <f aca="false">IF(ISERROR(R25*J25),0,R25*J25)</f>
        <v>2</v>
      </c>
      <c r="V25" s="217" t="str">
        <f aca="false">IF(AND(A25="",F25=0),"",IF(F25=0,"Il manque le(s) % de rec. !",""))</f>
        <v/>
      </c>
      <c r="W25" s="218"/>
      <c r="Y25" s="216" t="str">
        <f aca="false">IF(A25="new.cod","NEWCOD",IF(AND((Z25=""),ISTEXT(A25)),A25,IF(Z25="","",INDEX('[1]liste reference'!$A$8:$A$904,Z25))))</f>
        <v>LEASPX</v>
      </c>
      <c r="Z25" s="9" t="n">
        <f aca="false">IF(ISERROR(MATCH(A25,'[1]liste reference'!$A$8:$A$904,0)),IF(ISERROR(MATCH(A25,'[1]liste reference'!$B$8:$B$904,0)),"",(MATCH(A25,'[1]liste reference'!$B$8:$B$904,0))),(MATCH(A25,'[1]liste reference'!$A$8:$A$904,0)))</f>
        <v>34</v>
      </c>
      <c r="AA25" s="219"/>
      <c r="AB25" s="220"/>
      <c r="AC25" s="220"/>
      <c r="BB25" s="9" t="n">
        <f aca="false">IF(A25="","",1)</f>
        <v>1</v>
      </c>
    </row>
    <row r="26" customFormat="false" ht="12.65" hidden="false" customHeight="false" outlineLevel="0" collapsed="false">
      <c r="A26" s="221" t="s">
        <v>82</v>
      </c>
      <c r="B26" s="222" t="n">
        <v>0.01</v>
      </c>
      <c r="C26" s="223"/>
      <c r="D26" s="206" t="str">
        <f aca="false">IF(ISERROR(VLOOKUP($A26,'[1]liste reference'!$A$7:$D$904,2,0)),IF(ISERROR(VLOOKUP($A26,'[1]liste reference'!$B$7:$D$904,1,0)),"",VLOOKUP($A26,'[1]liste reference'!$B$7:$D$904,1,0)),VLOOKUP($A26,'[1]liste reference'!$A$7:$D$904,2,0))</f>
        <v>Phormidium sp.</v>
      </c>
      <c r="E26" s="224" t="e">
        <f aca="false">IF(D26="",0,VLOOKUP(D26,D$22:D25,1,0))</f>
        <v>#N/A</v>
      </c>
      <c r="F26" s="225" t="n">
        <f aca="false">($B26*$B$7+$C26*$C$7)/100</f>
        <v>0.01</v>
      </c>
      <c r="G26" s="208" t="str">
        <f aca="false">IF(A26="","",IF(ISERROR(VLOOKUP($A26,'[1]liste reference'!$A$7:$P$904,13,0)),IF(ISERROR(VLOOKUP($A26,'[1]liste reference'!$B$7:$P$904,12,0)),"    -",VLOOKUP($A26,'[1]liste reference'!$B$7:$P$904,12,0)),VLOOKUP($A26,'[1]liste reference'!$A$7:$P$904,13,0)))</f>
        <v>ALG</v>
      </c>
      <c r="H26" s="209" t="n">
        <f aca="false">IF(A26="","x",IF(ISERROR(VLOOKUP($A26,'[1]liste reference'!$A$8:$P$904,14,0)),IF(ISERROR(VLOOKUP($A26,'[1]liste reference'!$B$8:$P$904,13,0)),"x",VLOOKUP($A26,'[1]liste reference'!$B$8:$P$904,13,0)),VLOOKUP($A26,'[1]liste reference'!$A$8:$P$904,14,0)))</f>
        <v>2</v>
      </c>
      <c r="I26" s="210" t="n">
        <f aca="false">IF(ISNUMBER(H26),IF(ISERROR(VLOOKUP($A26,'[1]liste reference'!$A$7:$P$904,3,0)),IF(ISERROR(VLOOKUP($A26,'[1]liste reference'!$B$7:$P$904,2,0)),"",VLOOKUP($A26,'[1]liste reference'!$B$7:$P$904,2,0)),VLOOKUP($A26,'[1]liste reference'!$A$7:$P$904,3,0)),"")</f>
        <v>13</v>
      </c>
      <c r="J26" s="210" t="n">
        <f aca="false">IF(ISNUMBER(H26),IF(ISERROR(VLOOKUP($A26,'[1]liste reference'!$A$7:$P$904,4,0)),IF(ISERROR(VLOOKUP($A26,'[1]liste reference'!$B$7:$P$904,3,0)),"",VLOOKUP($A26,'[1]liste reference'!$B$7:$P$904,3,0)),VLOOKUP($A26,'[1]liste reference'!$A$7:$P$904,4,0)),"")</f>
        <v>2</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Phormidium sp.</v>
      </c>
      <c r="L26" s="226"/>
      <c r="M26" s="226"/>
      <c r="N26" s="226"/>
      <c r="O26" s="213"/>
      <c r="P26" s="214" t="n">
        <f aca="false">IF($A26="NEWCOD",IF($AC26="","No",$AC26),IF(ISTEXT($E26),"DEJA SAISI !",IF($A26="","",IF(ISERROR(VLOOKUP($A26,'[1]liste reference'!A$1:S$1048576,19,FALSE())),IF(ISERROR(VLOOKUP($A26,'[1]liste reference'!B$1:S$1048576,19,FALSE())),"",VLOOKUP($A26,'[1]liste reference'!B$1:S$1048576,19,FALSE())),VLOOKUP($A26,'[1]liste reference'!A$1:S$1048576,19,FALSE())))))</f>
        <v>6414</v>
      </c>
      <c r="Q26" s="215" t="n">
        <f aca="false">IF(ISTEXT(H26),"",(B26*$B$7/100)+(C26*$C$7/100))</f>
        <v>0.01</v>
      </c>
      <c r="R26" s="216" t="n">
        <f aca="false">IF(OR(ISTEXT(H26),Q26=0),"",IF(Q26&lt;0.1,1,IF(Q26&lt;1,2,IF(Q26&lt;10,3,IF(Q26&lt;50,4,IF(Q26&gt;=50,5,""))))))</f>
        <v>1</v>
      </c>
      <c r="S26" s="216" t="n">
        <f aca="false">IF(ISERROR(R26*I26),0,R26*I26)</f>
        <v>13</v>
      </c>
      <c r="T26" s="216" t="n">
        <f aca="false">IF(ISERROR(R26*I26*J26),0,R26*I26*J26)</f>
        <v>26</v>
      </c>
      <c r="U26" s="227" t="n">
        <f aca="false">IF(ISERROR(R26*J26),0,R26*J26)</f>
        <v>2</v>
      </c>
      <c r="V26" s="217" t="str">
        <f aca="false">IF(AND(A26="",F26=0),"",IF(F26=0,"Il manque le(s) % de rec. !",""))</f>
        <v/>
      </c>
      <c r="W26" s="218"/>
      <c r="X26" s="218"/>
      <c r="Y26" s="216" t="str">
        <f aca="false">IF(A26="new.cod","NEWCOD",IF(AND((Z26=""),ISTEXT(A26)),A26,IF(Z26="","",INDEX('[1]liste reference'!$A$8:$A$904,Z26))))</f>
        <v>PHOSPX</v>
      </c>
      <c r="Z26" s="9" t="n">
        <f aca="false">IF(ISERROR(MATCH(A26,'[1]liste reference'!$A$8:$A$904,0)),IF(ISERROR(MATCH(A26,'[1]liste reference'!$B$8:$B$904,0)),"",(MATCH(A26,'[1]liste reference'!$B$8:$B$904,0))),(MATCH(A26,'[1]liste reference'!$A$8:$A$904,0)))</f>
        <v>57</v>
      </c>
      <c r="AA26" s="219"/>
      <c r="AB26" s="220"/>
      <c r="AC26" s="220"/>
      <c r="BB26" s="9" t="n">
        <f aca="false">IF(A26="","",1)</f>
        <v>1</v>
      </c>
    </row>
    <row r="27" customFormat="false" ht="12.65" hidden="false" customHeight="false" outlineLevel="0" collapsed="false">
      <c r="A27" s="221" t="s">
        <v>83</v>
      </c>
      <c r="B27" s="222" t="n">
        <v>0.05</v>
      </c>
      <c r="C27" s="223"/>
      <c r="D27" s="206" t="str">
        <f aca="false">IF(ISERROR(VLOOKUP($A27,'[1]liste reference'!$A$7:$D$904,2,0)),IF(ISERROR(VLOOKUP($A27,'[1]liste reference'!$B$7:$D$904,1,0)),"",VLOOKUP($A27,'[1]liste reference'!$B$7:$D$904,1,0)),VLOOKUP($A27,'[1]liste reference'!$A$7:$D$904,2,0))</f>
        <v>Chiloscyphus polyanthos</v>
      </c>
      <c r="E27" s="224" t="e">
        <f aca="false">IF(D27="",0,VLOOKUP(D27,D$22:D26,1,0))</f>
        <v>#N/A</v>
      </c>
      <c r="F27" s="225" t="n">
        <f aca="false">($B27*$B$7+$C27*$C$7)/100</f>
        <v>0.05</v>
      </c>
      <c r="G27" s="208" t="str">
        <f aca="false">IF(A27="","",IF(ISERROR(VLOOKUP($A27,'[1]liste reference'!$A$7:$P$904,13,0)),IF(ISERROR(VLOOKUP($A27,'[1]liste reference'!$B$7:$P$904,12,0)),"    -",VLOOKUP($A27,'[1]liste reference'!$B$7:$P$904,12,0)),VLOOKUP($A27,'[1]liste reference'!$A$7:$P$904,13,0)))</f>
        <v>BRh</v>
      </c>
      <c r="H27" s="209" t="n">
        <f aca="false">IF(A27="","x",IF(ISERROR(VLOOKUP($A27,'[1]liste reference'!$A$8:$P$904,14,0)),IF(ISERROR(VLOOKUP($A27,'[1]liste reference'!$B$8:$P$904,13,0)),"x",VLOOKUP($A27,'[1]liste reference'!$B$8:$P$904,13,0)),VLOOKUP($A27,'[1]liste reference'!$A$8:$P$904,14,0)))</f>
        <v>4</v>
      </c>
      <c r="I27" s="210" t="n">
        <f aca="false">IF(ISNUMBER(H27),IF(ISERROR(VLOOKUP($A27,'[1]liste reference'!$A$7:$P$904,3,0)),IF(ISERROR(VLOOKUP($A27,'[1]liste reference'!$B$7:$P$904,2,0)),"",VLOOKUP($A27,'[1]liste reference'!$B$7:$P$904,2,0)),VLOOKUP($A27,'[1]liste reference'!$A$7:$P$904,3,0)),"")</f>
        <v>15</v>
      </c>
      <c r="J27" s="210" t="n">
        <f aca="false">IF(ISNUMBER(H27),IF(ISERROR(VLOOKUP($A27,'[1]liste reference'!$A$7:$P$904,4,0)),IF(ISERROR(VLOOKUP($A27,'[1]liste reference'!$B$7:$P$904,3,0)),"",VLOOKUP($A27,'[1]liste reference'!$B$7:$P$904,3,0)),VLOOKUP($A27,'[1]liste reference'!$A$7:$P$904,4,0)),"")</f>
        <v>2</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Chiloscyphus polyanthos</v>
      </c>
      <c r="L27" s="226"/>
      <c r="M27" s="226"/>
      <c r="N27" s="226"/>
      <c r="O27" s="213"/>
      <c r="P27" s="214" t="n">
        <f aca="false">IF($A27="NEWCOD",IF($AC27="","No",$AC27),IF(ISTEXT($E27),"DEJA SAISI !",IF($A27="","",IF(ISERROR(VLOOKUP($A27,'[1]liste reference'!A$1:S$1048576,19,FALSE())),IF(ISERROR(VLOOKUP($A27,'[1]liste reference'!B$1:S$1048576,19,FALSE())),"",VLOOKUP($A27,'[1]liste reference'!B$1:S$1048576,19,FALSE())),VLOOKUP($A27,'[1]liste reference'!A$1:S$1048576,19,FALSE())))))</f>
        <v>1186</v>
      </c>
      <c r="Q27" s="215" t="n">
        <f aca="false">IF(ISTEXT(H27),"",(B27*$B$7/100)+(C27*$C$7/100))</f>
        <v>0.05</v>
      </c>
      <c r="R27" s="216" t="n">
        <f aca="false">IF(OR(ISTEXT(H27),Q27=0),"",IF(Q27&lt;0.1,1,IF(Q27&lt;1,2,IF(Q27&lt;10,3,IF(Q27&lt;50,4,IF(Q27&gt;=50,5,""))))))</f>
        <v>1</v>
      </c>
      <c r="S27" s="216" t="n">
        <f aca="false">IF(ISERROR(R27*I27),0,R27*I27)</f>
        <v>15</v>
      </c>
      <c r="T27" s="216" t="n">
        <f aca="false">IF(ISERROR(R27*I27*J27),0,R27*I27*J27)</f>
        <v>30</v>
      </c>
      <c r="U27" s="227" t="n">
        <f aca="false">IF(ISERROR(R27*J27),0,R27*J27)</f>
        <v>2</v>
      </c>
      <c r="V27" s="217" t="str">
        <f aca="false">IF(AND(A27="",F27=0),"",IF(F27=0,"Il manque le(s) % de rec. !",""))</f>
        <v/>
      </c>
      <c r="W27" s="218"/>
      <c r="Y27" s="216" t="str">
        <f aca="false">IF(A27="new.cod","NEWCOD",IF(AND((Z27=""),ISTEXT(A27)),A27,IF(Z27="","",INDEX('[1]liste reference'!$A$8:$A$904,Z27))))</f>
        <v>CHIPOL</v>
      </c>
      <c r="Z27" s="9" t="n">
        <f aca="false">IF(ISERROR(MATCH(A27,'[1]liste reference'!$A$8:$A$904,0)),IF(ISERROR(MATCH(A27,'[1]liste reference'!$B$8:$B$904,0)),"",(MATCH(A27,'[1]liste reference'!$B$8:$B$904,0))),(MATCH(A27,'[1]liste reference'!$A$8:$A$904,0)))</f>
        <v>97</v>
      </c>
      <c r="AA27" s="219"/>
      <c r="AB27" s="220"/>
      <c r="AC27" s="220"/>
      <c r="BB27" s="9" t="n">
        <f aca="false">IF(A27="","",1)</f>
        <v>1</v>
      </c>
    </row>
    <row r="28" customFormat="false" ht="12.65" hidden="false" customHeight="false" outlineLevel="0" collapsed="false">
      <c r="A28" s="221" t="s">
        <v>84</v>
      </c>
      <c r="B28" s="222" t="n">
        <v>0.3</v>
      </c>
      <c r="C28" s="223"/>
      <c r="D28" s="206" t="str">
        <f aca="false">IF(ISERROR(VLOOKUP($A28,'[1]liste reference'!$A$7:$D$904,2,0)),IF(ISERROR(VLOOKUP($A28,'[1]liste reference'!$B$7:$D$904,1,0)),"",VLOOKUP($A28,'[1]liste reference'!$B$7:$D$904,1,0)),VLOOKUP($A28,'[1]liste reference'!$A$7:$D$904,2,0))</f>
        <v>Fontinalis antipyretica</v>
      </c>
      <c r="E28" s="224" t="e">
        <f aca="false">IF(D28="",0,VLOOKUP(D28,D$22:D27,1,0))</f>
        <v>#N/A</v>
      </c>
      <c r="F28" s="225" t="n">
        <f aca="false">($B28*$B$7+$C28*$C$7)/100</f>
        <v>0.3</v>
      </c>
      <c r="G28" s="208" t="str">
        <f aca="false">IF(A28="","",IF(ISERROR(VLOOKUP($A28,'[1]liste reference'!$A$7:$P$904,13,0)),IF(ISERROR(VLOOKUP($A28,'[1]liste reference'!$B$7:$P$904,12,0)),"    -",VLOOKUP($A28,'[1]liste reference'!$B$7:$P$904,12,0)),VLOOKUP($A28,'[1]liste reference'!$A$7:$P$904,13,0)))</f>
        <v>BRm</v>
      </c>
      <c r="H28" s="209" t="n">
        <f aca="false">IF(A28="","x",IF(ISERROR(VLOOKUP($A28,'[1]liste reference'!$A$8:$P$904,14,0)),IF(ISERROR(VLOOKUP($A28,'[1]liste reference'!$B$8:$P$904,13,0)),"x",VLOOKUP($A28,'[1]liste reference'!$B$8:$P$904,13,0)),VLOOKUP($A28,'[1]liste reference'!$A$8:$P$904,14,0)))</f>
        <v>5</v>
      </c>
      <c r="I28" s="210" t="n">
        <f aca="false">IF(ISNUMBER(H28),IF(ISERROR(VLOOKUP($A28,'[1]liste reference'!$A$7:$P$904,3,0)),IF(ISERROR(VLOOKUP($A28,'[1]liste reference'!$B$7:$P$904,2,0)),"",VLOOKUP($A28,'[1]liste reference'!$B$7:$P$904,2,0)),VLOOKUP($A28,'[1]liste reference'!$A$7:$P$904,3,0)),"")</f>
        <v>10</v>
      </c>
      <c r="J28" s="210" t="n">
        <f aca="false">IF(ISNUMBER(H28),IF(ISERROR(VLOOKUP($A28,'[1]liste reference'!$A$7:$P$904,4,0)),IF(ISERROR(VLOOKUP($A28,'[1]liste reference'!$B$7:$P$904,3,0)),"",VLOOKUP($A28,'[1]liste reference'!$B$7:$P$904,3,0)),VLOOKUP($A28,'[1]liste reference'!$A$7:$P$904,4,0)),"")</f>
        <v>1</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26"/>
      <c r="M28" s="226"/>
      <c r="N28" s="226"/>
      <c r="O28" s="213"/>
      <c r="P28" s="214" t="n">
        <f aca="false">IF($A28="NEWCOD",IF($AC28="","No",$AC28),IF(ISTEXT($E28),"DEJA SAISI !",IF($A28="","",IF(ISERROR(VLOOKUP($A28,'[1]liste reference'!A$1:S$1048576,19,FALSE())),IF(ISERROR(VLOOKUP($A28,'[1]liste reference'!B$1:S$1048576,19,FALSE())),"",VLOOKUP($A28,'[1]liste reference'!B$1:S$1048576,19,FALSE())),VLOOKUP($A28,'[1]liste reference'!A$1:S$1048576,19,FALSE())))))</f>
        <v>1310</v>
      </c>
      <c r="Q28" s="215" t="n">
        <f aca="false">IF(ISTEXT(H28),"",(B28*$B$7/100)+(C28*$C$7/100))</f>
        <v>0.3</v>
      </c>
      <c r="R28" s="216" t="n">
        <f aca="false">IF(OR(ISTEXT(H28),Q28=0),"",IF(Q28&lt;0.1,1,IF(Q28&lt;1,2,IF(Q28&lt;10,3,IF(Q28&lt;50,4,IF(Q28&gt;=50,5,""))))))</f>
        <v>2</v>
      </c>
      <c r="S28" s="216" t="n">
        <f aca="false">IF(ISERROR(R28*I28),0,R28*I28)</f>
        <v>20</v>
      </c>
      <c r="T28" s="216" t="n">
        <f aca="false">IF(ISERROR(R28*I28*J28),0,R28*I28*J28)</f>
        <v>20</v>
      </c>
      <c r="U28" s="227" t="n">
        <f aca="false">IF(ISERROR(R28*J28),0,R28*J28)</f>
        <v>2</v>
      </c>
      <c r="V28" s="217" t="str">
        <f aca="false">IF(AND(A28="",F28=0),"",IF(F28=0,"Il manque le(s) % de rec. !",""))</f>
        <v/>
      </c>
      <c r="W28" s="218"/>
      <c r="Y28" s="216" t="str">
        <f aca="false">IF(A28="new.cod","NEWCOD",IF(AND((Z28=""),ISTEXT(A28)),A28,IF(Z28="","",INDEX('[1]liste reference'!$A$8:$A$904,Z28))))</f>
        <v>FONANT</v>
      </c>
      <c r="Z28" s="9" t="n">
        <f aca="false">IF(ISERROR(MATCH(A28,'[1]liste reference'!$A$8:$A$904,0)),IF(ISERROR(MATCH(A28,'[1]liste reference'!$B$8:$B$904,0)),"",(MATCH(A28,'[1]liste reference'!$B$8:$B$904,0))),(MATCH(A28,'[1]liste reference'!$A$8:$A$904,0)))</f>
        <v>210</v>
      </c>
      <c r="AA28" s="219"/>
      <c r="AB28" s="220"/>
      <c r="AC28" s="220"/>
      <c r="BB28" s="9" t="n">
        <f aca="false">IF(A28="","",1)</f>
        <v>1</v>
      </c>
    </row>
    <row r="29" customFormat="false" ht="12.65" hidden="false" customHeight="false" outlineLevel="0" collapsed="false">
      <c r="A29" s="221" t="s">
        <v>16</v>
      </c>
      <c r="B29" s="222" t="n">
        <v>3.3</v>
      </c>
      <c r="C29" s="223"/>
      <c r="D29" s="206" t="str">
        <f aca="false">IF(ISERROR(VLOOKUP($A29,'[1]liste reference'!$A$7:$D$904,2,0)),IF(ISERROR(VLOOKUP($A29,'[1]liste reference'!$B$7:$D$904,1,0)),"",VLOOKUP($A29,'[1]liste reference'!$B$7:$D$904,1,0)),VLOOKUP($A29,'[1]liste reference'!$A$7:$D$904,2,0))</f>
        <v>Rhynchostegium riparioides</v>
      </c>
      <c r="E29" s="224" t="e">
        <f aca="false">IF(D29="",0,VLOOKUP(D29,D$22:D28,1,0))</f>
        <v>#N/A</v>
      </c>
      <c r="F29" s="225" t="n">
        <f aca="false">($B29*$B$7+$C29*$C$7)/100</f>
        <v>3.3</v>
      </c>
      <c r="G29" s="208" t="str">
        <f aca="false">IF(A29="","",IF(ISERROR(VLOOKUP($A29,'[1]liste reference'!$A$7:$P$904,13,0)),IF(ISERROR(VLOOKUP($A29,'[1]liste reference'!$B$7:$P$904,12,0)),"    -",VLOOKUP($A29,'[1]liste reference'!$B$7:$P$904,12,0)),VLOOKUP($A29,'[1]liste reference'!$A$7:$P$904,13,0)))</f>
        <v>BRm</v>
      </c>
      <c r="H29" s="209" t="n">
        <f aca="false">IF(A29="","x",IF(ISERROR(VLOOKUP($A29,'[1]liste reference'!$A$8:$P$904,14,0)),IF(ISERROR(VLOOKUP($A29,'[1]liste reference'!$B$8:$P$904,13,0)),"x",VLOOKUP($A29,'[1]liste reference'!$B$8:$P$904,13,0)),VLOOKUP($A29,'[1]liste reference'!$A$8:$P$904,14,0)))</f>
        <v>5</v>
      </c>
      <c r="I29" s="210" t="n">
        <f aca="false">IF(ISNUMBER(H29),IF(ISERROR(VLOOKUP($A29,'[1]liste reference'!$A$7:$P$904,3,0)),IF(ISERROR(VLOOKUP($A29,'[1]liste reference'!$B$7:$P$904,2,0)),"",VLOOKUP($A29,'[1]liste reference'!$B$7:$P$904,2,0)),VLOOKUP($A29,'[1]liste reference'!$A$7:$P$904,3,0)),"")</f>
        <v>12</v>
      </c>
      <c r="J29" s="210" t="n">
        <f aca="false">IF(ISNUMBER(H29),IF(ISERROR(VLOOKUP($A29,'[1]liste reference'!$A$7:$P$904,4,0)),IF(ISERROR(VLOOKUP($A29,'[1]liste reference'!$B$7:$P$904,3,0)),"",VLOOKUP($A29,'[1]liste reference'!$B$7:$P$904,3,0)),VLOOKUP($A29,'[1]liste reference'!$A$7:$P$904,4,0)),"")</f>
        <v>1</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6"/>
      <c r="M29" s="226"/>
      <c r="N29" s="226"/>
      <c r="O29" s="213"/>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3.3</v>
      </c>
      <c r="R29" s="216" t="n">
        <f aca="false">IF(OR(ISTEXT(H29),Q29=0),"",IF(Q29&lt;0.1,1,IF(Q29&lt;1,2,IF(Q29&lt;10,3,IF(Q29&lt;50,4,IF(Q29&gt;=50,5,""))))))</f>
        <v>3</v>
      </c>
      <c r="S29" s="216" t="n">
        <f aca="false">IF(ISERROR(R29*I29),0,R29*I29)</f>
        <v>36</v>
      </c>
      <c r="T29" s="216" t="n">
        <f aca="false">IF(ISERROR(R29*I29*J29),0,R29*I29*J29)</f>
        <v>36</v>
      </c>
      <c r="U29" s="227" t="n">
        <f aca="false">IF(ISERROR(R29*J29),0,R29*J29)</f>
        <v>3</v>
      </c>
      <c r="V29" s="217" t="str">
        <f aca="false">IF(AND(A29="",F29=0),"",IF(F29=0,"Il manque le(s) % de rec. !",""))</f>
        <v/>
      </c>
      <c r="W29" s="218"/>
      <c r="Y29" s="216" t="str">
        <f aca="false">IF(A29="new.cod","NEWCOD",IF(AND((Z29=""),ISTEXT(A29)),A29,IF(Z29="","",INDEX('[1]liste reference'!$A$8:$A$904,Z29))))</f>
        <v>RHYRIP</v>
      </c>
      <c r="Z29" s="9" t="n">
        <f aca="false">IF(ISERROR(MATCH(A29,'[1]liste reference'!$A$8:$A$904,0)),IF(ISERROR(MATCH(A29,'[1]liste reference'!$B$8:$B$904,0)),"",(MATCH(A29,'[1]liste reference'!$B$8:$B$904,0))),(MATCH(A29,'[1]liste reference'!$A$8:$A$904,0)))</f>
        <v>252</v>
      </c>
      <c r="AA29" s="219"/>
      <c r="AB29" s="220"/>
      <c r="AC29" s="220"/>
      <c r="BB29" s="9" t="n">
        <f aca="false">IF(A29="","",1)</f>
        <v>1</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1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1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1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1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1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1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1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1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1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1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1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1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1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1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1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1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1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1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1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1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1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1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1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1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1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1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1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1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1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1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1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1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18"/>
      <c r="X62" s="21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1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1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1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1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1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1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1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1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1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1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1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1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1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1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1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1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1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1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1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85</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DORDOGNE</v>
      </c>
      <c r="B84" s="257" t="str">
        <f aca="false">C3</f>
        <v>Singles</v>
      </c>
      <c r="C84" s="258" t="n">
        <f aca="false">A4</f>
        <v>42251</v>
      </c>
      <c r="D84" s="259" t="n">
        <f aca="false">IF(ISERROR(SUM($T$23:$T$82)/SUM($U$23:$U$82)),"",SUM($T$23:$T$82)/SUM($U$23:$U$82))</f>
        <v>11.8666666666667</v>
      </c>
      <c r="E84" s="260" t="n">
        <f aca="false">N13</f>
        <v>7</v>
      </c>
      <c r="F84" s="257" t="n">
        <f aca="false">N14</f>
        <v>7</v>
      </c>
      <c r="G84" s="257" t="n">
        <f aca="false">N15</f>
        <v>3</v>
      </c>
      <c r="H84" s="257" t="n">
        <f aca="false">N16</f>
        <v>4</v>
      </c>
      <c r="I84" s="257" t="n">
        <f aca="false">N17</f>
        <v>0</v>
      </c>
      <c r="J84" s="261" t="n">
        <f aca="false">N8</f>
        <v>11.8571428571429</v>
      </c>
      <c r="K84" s="259" t="n">
        <f aca="false">N9</f>
        <v>2.89968330431206</v>
      </c>
      <c r="L84" s="260" t="n">
        <f aca="false">N10</f>
        <v>6</v>
      </c>
      <c r="M84" s="260" t="n">
        <f aca="false">N11</f>
        <v>15</v>
      </c>
      <c r="N84" s="259" t="n">
        <f aca="false">O8</f>
        <v>1.57142857142857</v>
      </c>
      <c r="O84" s="259" t="n">
        <f aca="false">O9</f>
        <v>0.494871659305394</v>
      </c>
      <c r="P84" s="260" t="n">
        <f aca="false">O10</f>
        <v>1</v>
      </c>
      <c r="Q84" s="260" t="n">
        <f aca="false">O11</f>
        <v>2</v>
      </c>
      <c r="R84" s="260" t="n">
        <f aca="false">F21</f>
        <v>3.9</v>
      </c>
      <c r="S84" s="260" t="n">
        <f aca="false">K11</f>
        <v>0</v>
      </c>
      <c r="T84" s="260" t="n">
        <f aca="false">K12</f>
        <v>4</v>
      </c>
      <c r="U84" s="260" t="n">
        <f aca="false">K13</f>
        <v>3</v>
      </c>
      <c r="V84" s="262" t="n">
        <f aca="false">K14</f>
        <v>0</v>
      </c>
      <c r="W84" s="263" t="n">
        <f aca="false">K15</f>
        <v>0</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86</v>
      </c>
      <c r="R86" s="9"/>
      <c r="S86" s="217"/>
      <c r="T86" s="9"/>
      <c r="U86" s="9"/>
      <c r="V86" s="9"/>
    </row>
    <row r="87" customFormat="false" ht="12" hidden="true" customHeight="false" outlineLevel="0" collapsed="false">
      <c r="P87" s="9"/>
      <c r="Q87" s="9" t="s">
        <v>87</v>
      </c>
      <c r="R87" s="9"/>
      <c r="S87" s="217" t="n">
        <f aca="false">VLOOKUP(MAX($S$23:$S$82),($S$23:$U$82),1,0)</f>
        <v>36</v>
      </c>
      <c r="T87" s="9"/>
      <c r="U87" s="9"/>
      <c r="V87" s="9"/>
    </row>
    <row r="88" customFormat="false" ht="12" hidden="true" customHeight="false" outlineLevel="0" collapsed="false">
      <c r="P88" s="9"/>
      <c r="Q88" s="9" t="s">
        <v>88</v>
      </c>
      <c r="R88" s="9"/>
      <c r="S88" s="217" t="n">
        <f aca="false">VLOOKUP((S87),($S$23:$U$82),2,0)</f>
        <v>36</v>
      </c>
      <c r="T88" s="9"/>
      <c r="U88" s="9"/>
      <c r="V88" s="9"/>
    </row>
    <row r="89" customFormat="false" ht="12" hidden="true" customHeight="false" outlineLevel="0" collapsed="false">
      <c r="Q89" s="9" t="s">
        <v>89</v>
      </c>
      <c r="R89" s="9"/>
      <c r="S89" s="217" t="n">
        <f aca="false">VLOOKUP((S87),($S$23:$U$82),3,0)</f>
        <v>3</v>
      </c>
      <c r="T89" s="9"/>
    </row>
    <row r="90" customFormat="false" ht="12" hidden="false" customHeight="false" outlineLevel="0" collapsed="false">
      <c r="Q90" s="9" t="s">
        <v>90</v>
      </c>
      <c r="R90" s="9"/>
      <c r="S90" s="265" t="n">
        <f aca="false">IF(ISERROR(SUM($T$23:$T$82)/SUM($U$23:$U$82)),"",(SUM($T$23:$T$82)-S88)/(SUM($U$23:$U$82)-S89))</f>
        <v>11.8333333333333</v>
      </c>
      <c r="T90" s="9"/>
    </row>
    <row r="91" customFormat="false" ht="12" hidden="false" customHeight="false" outlineLevel="0" collapsed="false">
      <c r="Q91" s="216" t="s">
        <v>91</v>
      </c>
      <c r="R91" s="216"/>
      <c r="S91" s="216" t="str">
        <f aca="false">INDEX('[1]liste reference'!$A$8:$A$904,$T$91)</f>
        <v>RHYRIP</v>
      </c>
      <c r="T91" s="9" t="n">
        <f aca="false">IF(ISERROR(MATCH($S$93,'[1]liste reference'!$A$8:$A$904,0)),MATCH($S$93,'[1]liste reference'!$B$8:$B$904,0),(MATCH($S$93,'[1]liste reference'!$A$8:$A$904,0)))</f>
        <v>252</v>
      </c>
      <c r="U91" s="255"/>
    </row>
    <row r="92" customFormat="false" ht="12" hidden="false" customHeight="false" outlineLevel="0" collapsed="false">
      <c r="Q92" s="9" t="s">
        <v>92</v>
      </c>
      <c r="R92" s="9"/>
      <c r="S92" s="9" t="n">
        <f aca="false">MATCH(S87,$S$23:$S$82,0)</f>
        <v>7</v>
      </c>
      <c r="T92" s="9"/>
    </row>
    <row r="93" customFormat="false" ht="12" hidden="false" customHeight="false" outlineLevel="0" collapsed="false">
      <c r="Q93" s="216" t="s">
        <v>93</v>
      </c>
      <c r="R93" s="9"/>
      <c r="S93" s="216" t="str">
        <f aca="false">INDEX($A$23:$A$82,$S$92)</f>
        <v>RHYRIP</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2024-04-30T19:25:04Z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