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7900" sheetId="6" state="visible" r:id="rId8"/>
    <sheet name="jgjg" sheetId="7" state="hidden" r:id="rId9"/>
    <sheet name="liste codes réf" sheetId="8" state="hidden" r:id="rId10"/>
  </sheets>
  <definedNames>
    <definedName function="false" hidden="false" localSheetId="5" name="_xlnm.Print_Area" vbProcedure="false">'05097900'!$A$1:$Q$82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'05097900'!$A$1:$Q$82</definedName>
    <definedName function="false" hidden="false" localSheetId="5" name="_xlnm__FilterDatabase" vbProcedure="false">'05097900'!$A$1:$C$1415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<sst xmlns="http://schemas.openxmlformats.org/spreadsheetml/2006/main" count="8842" uniqueCount="3496">
  <si>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</si>
  <si>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</si>
  <si>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</si>
  <si>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</si>
  <si>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</si>
  <si>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</si>
  <si>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</si>
  <si>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</si>
  <si>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</si>
  <si>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</si>
  <si>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</si>
  <si>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</si>
  <si>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</si>
  <si>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</si>
  <si>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</si>
  <si>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</si>
  <si>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</si>
  <si>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</si>
  <si>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</si>
  <si>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</si>
  <si>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</si>
  <si>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</si>
  <si>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</si>
  <si>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</si>
  <si>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</si>
  <si>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</si>
  <si>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</si>
  <si>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</si>
  <si>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</si>
  <si>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</si>
  <si>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</si>
  <si>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</si>
  <si>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</si>
  <si>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</si>
  <si>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</si>
  <si>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</si>
  <si>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</si>
  <si>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</si>
  <si>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</si>
  <si>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</si>
  <si>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</si>
  <si>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</si>
  <si>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</si>
  <si>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</si>
  <si>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</si>
  <si>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</si>
  <si>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</si>
  <si>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</si>
  <si>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</si>
  <si>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</si>
  <si>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</si>
  <si>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</si>
  <si>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</si>
  <si>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</si>
  <si>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</si>
  <si>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</si>
  <si>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</si>
  <si>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</si>
  <si>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</si>
  <si>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</si>
  <si>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</si>
  <si>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</si>
  <si>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</si>
  <si>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</si>
  <si>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</si>
  <si>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</si>
  <si>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</si>
  <si>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</si>
  <si>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</si>
  <si>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</si>
  <si>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</si>
  <si>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</si>
  <si>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</si>
  <si>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</si>
  <si>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</si>
  <si>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</si>
  <si>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</si>
  <si>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</si>
  <si>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</si>
  <si>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</si>
  <si>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</si>
  <si>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</si>
  <si>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</si>
  <si>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</si>
  <si>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</si>
  <si>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</si>
  <si>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</si>
  <si>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</si>
  <si>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</si>
  <si>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</si>
  <si>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</si>
  <si>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</si>
  <si>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</si>
  <si>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</si>
  <si>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</si>
  <si>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</si>
  <si>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</si>
  <si>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</si>
  <si>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</si>
  <si>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</si>
  <si>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</si>
  <si>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</si>
  <si>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</si>
  <si>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</si>
  <si>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</si>
  <si>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</si>
  <si>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</si>
  <si>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</si>
  <si>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</si>
  <si>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</si>
  <si>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</si>
  <si>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</si>
  <si>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</si>
  <si>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</si>
  <si>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</si>
  <si>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</si>
  <si>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</si>
  <si>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</si>
  <si>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</si>
  <si>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</si>
  <si>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</si>
  <si>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</si>
  <si>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</si>
  <si>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</si>
  <si>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</si>
  <si>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</si>
  <si>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</si>
  <si>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</si>
  <si>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</si>
  <si>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</si>
  <si>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</si>
  <si>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</si>
  <si>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</si>
  <si>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</si>
  <si>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</si>
  <si>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</si>
  <si>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</si>
  <si>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</si>
  <si>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</si>
  <si>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</si>
  <si>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</si>
  <si>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</si>
  <si>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</si>
  <si>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</si>
  <si>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</si>
  <si>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</si>
  <si>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</si>
  <si>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</si>
  <si>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</si>
  <si>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</si>
  <si>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</si>
  <si>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</si>
  <si>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</si>
  <si>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</si>
  <si>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</si>
  <si>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</si>
  <si>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</si>
  <si>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</si>
  <si>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</si>
  <si>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</si>
  <si>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</si>
  <si>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</si>
  <si>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</si>
  <si>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</si>
  <si>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</si>
  <si>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</si>
  <si>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</si>
  <si>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</si>
  <si>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</si>
  <si>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</si>
  <si>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</si>
  <si>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</si>
  <si>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</si>
  <si>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</si>
  <si>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</si>
  <si>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</si>
  <si>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</si>
  <si>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</si>
  <si>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</si>
  <si>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</si>
  <si>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</si>
  <si>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</si>
  <si>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</si>
  <si>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</si>
  <si>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</si>
  <si>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</si>
  <si>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</si>
  <si>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</si>
  <si>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</si>
  <si>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</si>
  <si>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</si>
  <si>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</si>
  <si>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</si>
  <si>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</si>
  <si>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</si>
  <si>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</si>
  <si>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</si>
  <si>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</si>
  <si>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</si>
  <si>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</si>
  <si>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</si>
  <si>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</si>
  <si>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</si>
  <si>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</si>
  <si>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</si>
  <si>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</si>
  <si>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</si>
  <si>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</si>
  <si>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</si>
  <si>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</si>
  <si>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</si>
  <si>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</si>
  <si>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</si>
  <si>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</si>
  <si>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</si>
  <si>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</si>
  <si>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</si>
  <si>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</si>
  <si>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</si>
  <si>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</si>
  <si>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</si>
  <si>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</si>
  <si>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</si>
  <si>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</si>
  <si>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</si>
  <si>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</si>
  <si>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</si>
  <si>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</si>
  <si>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</si>
  <si>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</si>
  <si>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</si>
  <si>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</si>
  <si>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</si>
  <si>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</si>
  <si>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</si>
  <si>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</si>
  <si>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</si>
  <si>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</si>
  <si>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</si>
  <si>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</si>
  <si>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</si>
  <si>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</si>
  <si>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</si>
  <si>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</si>
  <si>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</si>
  <si>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</si>
  <si>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</si>
  <si>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</si>
  <si>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</si>
  <si>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</si>
  <si>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</si>
  <si>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</si>
  <si>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</si>
  <si>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</si>
  <si>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</si>
  <si>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</si>
  <si>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</si>
  <si>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</si>
  <si>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</si>
  <si>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</si>
  <si>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</si>
  <si>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</si>
  <si>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</si>
  <si>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</si>
  <si>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</si>
  <si>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</si>
  <si>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</si>
  <si>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</si>
  <si>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</si>
  <si>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</si>
  <si>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</si>
  <si>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</si>
  <si>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</si>
  <si>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</si>
  <si>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</si>
  <si>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</si>
  <si>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</si>
  <si>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</si>
  <si>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</si>
  <si>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</si>
  <si>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</si>
  <si>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</si>
  <si>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</si>
  <si>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</si>
  <si>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</si>
  <si>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</si>
  <si>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</si>
  <si>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</si>
  <si>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</si>
  <si>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</si>
  <si>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</si>
  <si>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</si>
  <si>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</si>
  <si>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</si>
  <si>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</si>
  <si>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</si>
  <si>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</si>
  <si>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</si>
  <si>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</si>
  <si>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</si>
  <si>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</si>
  <si>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</si>
  <si>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</si>
  <si>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</si>
  <si>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</si>
  <si>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</si>
  <si>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</si>
  <si>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</si>
  <si>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</si>
  <si>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</si>
  <si>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</si>
  <si>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</si>
  <si>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</si>
  <si>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</si>
  <si>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</si>
  <si>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</si>
  <si>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</si>
  <si>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</si>
  <si>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</si>
  <si>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</si>
  <si>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</si>
  <si>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</si>
  <si>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</si>
  <si>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</si>
  <si>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</si>
  <si>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</si>
  <si>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</si>
  <si>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</si>
  <si>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</si>
  <si>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</si>
  <si>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</si>
  <si>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</si>
  <si>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</si>
  <si>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</si>
  <si>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</si>
  <si>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</si>
  <si>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</si>
  <si>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</si>
  <si>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</si>
  <si>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</si>
  <si>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</si>
  <si>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</si>
  <si>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</si>
  <si>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</si>
  <si>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</si>
  <si>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</si>
  <si>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</si>
  <si>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</si>
  <si>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</si>
  <si>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</si>
  <si>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</si>
  <si>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</si>
  <si>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</si>
  <si>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</si>
  <si>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</si>
  <si>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</si>
  <si>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</si>
  <si>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</si>
  <si>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</si>
  <si>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</si>
  <si>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</si>
  <si>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</si>
  <si>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</si>
  <si>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</si>
  <si>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</si>
  <si>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</si>
  <si>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</si>
  <si>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</si>
  <si>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</si>
  <si>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</si>
  <si>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</si>
  <si>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</si>
  <si>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</si>
  <si>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</si>
  <si>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</si>
  <si>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</si>
  <si>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</si>
  <si>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</si>
  <si>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</si>
  <si>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</si>
  <si>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</si>
  <si>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</si>
  <si>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</si>
  <si>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</si>
  <si>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</si>
  <si>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</si>
  <si>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</si>
  <si>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</si>
  <si>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</si>
  <si>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</si>
  <si>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</si>
  <si>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</si>
  <si>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</si>
  <si>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</si>
  <si>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</si>
  <si>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</si>
  <si>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</si>
  <si>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</si>
  <si>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</si>
  <si>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</si>
  <si>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</si>
  <si>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</si>
  <si>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</si>
  <si>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</si>
  <si>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</si>
  <si>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</si>
  <si>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</si>
  <si>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</si>
  <si>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</si>
  <si>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</si>
  <si>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</si>
  <si>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</si>
  <si>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</si>
  <si>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</si>
  <si>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</si>
  <si>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</si>
  <si>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</si>
  <si>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</si>
  <si>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</si>
  <si>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</si>
  <si>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</si>
  <si>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</si>
  <si>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</si>
  <si>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</si>
  <si>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</si>
  <si>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</si>
  <si>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</si>
  <si>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</si>
  <si>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</si>
  <si>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</si>
  <si>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</si>
  <si>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</si>
  <si>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</si>
  <si>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</si>
  <si>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</si>
  <si>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</si>
  <si>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</si>
  <si>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</si>
  <si>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</si>
  <si>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</si>
  <si>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</si>
  <si>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</si>
  <si>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</si>
  <si>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</si>
  <si>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</si>
  <si>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</si>
  <si>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</si>
  <si>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</si>
  <si>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</si>
  <si>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</si>
  <si>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</si>
  <si>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</si>
  <si>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</si>
  <si>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</si>
  <si>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</si>
  <si>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</si>
  <si>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</si>
  <si>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</si>
  <si>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</si>
  <si>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</si>
  <si>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</si>
  <si>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</si>
  <si>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</si>
  <si>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</si>
  <si>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</si>
  <si>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</si>
  <si>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</si>
  <si>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</si>
  <si>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</si>
  <si>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</si>
  <si>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</si>
  <si>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</si>
  <si>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</si>
  <si>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</si>
  <si>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</si>
  <si>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</si>
  <si>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</si>
  <si>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</si>
  <si>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</si>
  <si>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</si>
  <si>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</si>
  <si>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</si>
  <si>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</si>
  <si>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</si>
  <si>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</si>
  <si>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</si>
  <si>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</si>
  <si>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</si>
  <si>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</si>
  <si>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</si>
  <si>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</si>
  <si>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</si>
  <si>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</si>
  <si>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</si>
  <si>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</si>
  <si>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</si>
  <si>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</si>
  <si>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</si>
  <si>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</si>
  <si>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</si>
  <si>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</si>
  <si>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</si>
  <si>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</si>
  <si>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</si>
  <si>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</si>
  <si>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</si>
  <si>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</si>
  <si>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</si>
  <si>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</si>
  <si>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</si>
  <si>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</si>
  <si>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</si>
  <si>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</si>
  <si>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</si>
  <si>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</si>
  <si>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</si>
  <si>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</si>
  <si>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</si>
  <si>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</si>
  <si>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</si>
  <si>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</si>
  <si>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</si>
  <si>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</si>
  <si>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</si>
  <si>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</si>
  <si>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</si>
  <si>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</si>
  <si>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</si>
  <si>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</si>
  <si>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</si>
  <si>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</si>
  <si>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</si>
  <si>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</si>
  <si>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</si>
  <si>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</si>
  <si>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</si>
  <si>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</si>
  <si>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</si>
  <si>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</si>
  <si>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</si>
  <si>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</si>
  <si>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</si>
  <si>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</si>
  <si>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</si>
  <si>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</si>
  <si>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</si>
  <si>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</si>
  <si>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</si>
  <si>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</si>
  <si>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</si>
  <si>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</si>
  <si>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</si>
  <si>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</si>
  <si>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</si>
  <si>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</si>
  <si>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</si>
  <si>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</si>
  <si>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</si>
  <si>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</si>
  <si>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</si>
  <si>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</si>
  <si>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</si>
  <si>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</si>
  <si>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</si>
  <si>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</si>
  <si>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</si>
  <si>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</si>
  <si>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</si>
  <si>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</si>
  <si>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</si>
  <si>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</si>
  <si>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</si>
  <si>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</si>
  <si>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</si>
  <si>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</si>
  <si>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</si>
  <si>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</si>
  <si>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</si>
  <si>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</si>
  <si>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</si>
  <si>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</si>
  <si>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</si>
  <si>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</si>
  <si>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</si>
  <si>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</si>
  <si>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</si>
  <si>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</si>
  <si>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</si>
  <si>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</si>
  <si>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</si>
  <si>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</si>
  <si>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</si>
  <si>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</si>
  <si>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</si>
  <si>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</si>
  <si>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</si>
  <si>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</si>
  <si>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</si>
  <si>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</si>
  <si>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</si>
  <si>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</si>
  <si>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</si>
  <si>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</si>
  <si>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</si>
  <si>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</si>
  <si>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</si>
  <si>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</si>
  <si>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</si>
  <si>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</si>
  <si>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</si>
  <si>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</si>
  <si>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</si>
  <si>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</si>
  <si>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</si>
  <si>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</si>
  <si>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</si>
  <si>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</si>
  <si>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</si>
  <si>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</si>
  <si>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</si>
  <si>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</si>
  <si>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</si>
  <si>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</si>
  <si>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</si>
  <si>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</si>
  <si>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</si>
  <si>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</si>
  <si>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</si>
  <si>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</si>
  <si>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</si>
  <si>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</si>
  <si>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</si>
  <si>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</si>
  <si>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</si>
  <si>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</si>
  <si>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</si>
  <si>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</si>
  <si>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</si>
  <si>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</si>
  <si>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</si>
  <si>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</si>
  <si>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</si>
  <si>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</si>
  <si>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</si>
  <si>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</si>
  <si>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</si>
  <si>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</si>
  <si>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</si>
  <si>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</si>
  <si>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</si>
  <si>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</si>
  <si>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</si>
  <si>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</si>
  <si>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</si>
  <si>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</si>
  <si>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</si>
  <si>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</si>
  <si>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</si>
  <si>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</si>
  <si>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</si>
  <si>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</si>
  <si>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</si>
  <si>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</si>
  <si>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</si>
  <si>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</si>
  <si>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</si>
  <si>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</si>
  <si>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</si>
  <si>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</si>
  <si>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</si>
  <si>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</si>
  <si>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</si>
  <si>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</si>
  <si>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</si>
  <si>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</si>
  <si>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</si>
  <si>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</si>
  <si>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</si>
  <si>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</si>
  <si>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</si>
  <si>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</si>
  <si>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</si>
  <si>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</si>
  <si>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</si>
  <si>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</si>
  <si>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</si>
  <si>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</si>
  <si>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</si>
  <si>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</si>
  <si>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</si>
  <si>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</si>
  <si>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</si>
  <si>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</si>
  <si>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</si>
  <si>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</si>
  <si>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</si>
  <si>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</si>
  <si>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</si>
  <si>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</si>
  <si>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</si>
  <si>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</si>
  <si>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</si>
  <si>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</si>
  <si>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</si>
  <si>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</si>
  <si>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</si>
  <si>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</si>
  <si>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</si>
  <si>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</si>
  <si>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</si>
  <si>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</si>
  <si>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</si>
  <si>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</si>
  <si>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</si>
  <si>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</si>
  <si>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</si>
  <si>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</si>
  <si>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</si>
  <si>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</si>
  <si>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</si>
  <si>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</si>
  <si>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</si>
  <si>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</si>
  <si>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</si>
  <si>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</si>
  <si>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</si>
  <si>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</si>
  <si>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</si>
  <si>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</si>
  <si>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</si>
  <si>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</si>
  <si>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</si>
  <si>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</si>
  <si>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</si>
  <si>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</si>
  <si>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</si>
  <si>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</si>
  <si>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</si>
  <si>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</si>
  <si>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</si>
  <si>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</si>
  <si>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</si>
  <si>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</si>
  <si>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</si>
  <si>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</si>
  <si>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</si>
  <si>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</si>
  <si>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</si>
  <si>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</si>
  <si>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</si>
  <si>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</si>
  <si>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</si>
  <si>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</si>
  <si>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</si>
  <si>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</si>
  <si>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</si>
  <si>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</si>
  <si>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</si>
  <si>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</si>
  <si>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</si>
  <si>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</si>
  <si>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</si>
  <si>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</si>
  <si>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</si>
  <si>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</si>
  <si>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</si>
  <si>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</si>
  <si>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</si>
  <si>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</si>
  <si>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</si>
  <si>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</si>
  <si>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</si>
  <si>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</si>
  <si>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</si>
  <si>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</si>
  <si>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</si>
  <si>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</si>
  <si>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</si>
  <si>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</si>
  <si>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</si>
  <si>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</si>
  <si>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</si>
  <si>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</si>
  <si>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</si>
  <si>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</si>
  <si>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</si>
  <si>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</si>
  <si>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</si>
  <si>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</si>
  <si>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</si>
  <si>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</si>
  <si>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</si>
  <si>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</si>
  <si>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</si>
  <si>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</si>
  <si>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</si>
  <si>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</si>
  <si>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</si>
  <si>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</si>
  <si>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</si>
  <si>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</si>
  <si>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</si>
  <si>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</si>
  <si>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</si>
  <si>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</si>
  <si>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</si>
  <si>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</si>
  <si>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</si>
  <si>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</si>
  <si>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</si>
  <si>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</si>
  <si>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</si>
  <si>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</si>
  <si>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</si>
  <si>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</si>
  <si>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</si>
  <si>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</si>
  <si>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</si>
  <si>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</si>
  <si>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</si>
  <si>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</si>
  <si>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</si>
  <si>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</si>
  <si>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</si>
  <si>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</si>
  <si>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</si>
  <si>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</si>
  <si>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</si>
  <si>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</si>
  <si>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</si>
  <si>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</si>
  <si>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</si>
  <si>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</si>
  <si>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</si>
  <si>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</si>
  <si>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</si>
  <si>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</si>
  <si>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</si>
  <si>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</si>
  <si>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</si>
  <si>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</si>
  <si>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</si>
  <si>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</si>
  <si>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</si>
  <si>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</si>
  <si>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</si>
  <si>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</si>
  <si>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</si>
  <si>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</si>
  <si>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</si>
  <si>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</si>
  <si>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</si>
  <si>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</si>
  <si>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</si>
  <si>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</si>
  <si>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</si>
  <si>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</si>
  <si>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</si>
  <si>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</si>
  <si>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</si>
  <si>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</si>
  <si>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</si>
  <si>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</si>
  <si>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</si>
  <si>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</si>
  <si>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</si>
  <si>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</si>
  <si>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</si>
  <si>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</si>
  <si>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</si>
  <si>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</si>
  <si>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</si>
  <si>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</si>
  <si>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</si>
  <si>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</si>
  <si>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</si>
  <si>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</si>
  <si>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</si>
  <si>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</si>
  <si>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</si>
  <si>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</si>
  <si>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</si>
  <si>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</si>
  <si>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</si>
  <si>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</si>
  <si>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</si>
  <si>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</si>
  <si>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</si>
  <si>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</si>
  <si>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</si>
  <si>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</si>
  <si>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</si>
  <si>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</si>
  <si>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</si>
  <si>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</si>
  <si>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</si>
  <si>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</si>
  <si>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</si>
  <si>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</si>
  <si>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</si>
  <si>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</si>
  <si>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</si>
  <si>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</si>
  <si>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</si>
  <si>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</si>
  <si>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</si>
  <si>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</si>
  <si>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</si>
  <si>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</si>
  <si>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</si>
  <si>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</si>
  <si>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</si>
  <si>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</si>
  <si>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</si>
  <si>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</si>
  <si>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</si>
  <si>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</si>
  <si>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</si>
  <si>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</si>
  <si>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</si>
  <si>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</si>
  <si>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</si>
  <si>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</si>
  <si>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</si>
  <si>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</si>
  <si>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</si>
  <si>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</si>
  <si>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</si>
  <si>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</si>
  <si>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</si>
  <si>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</si>
  <si>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</si>
  <si>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</si>
  <si>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</si>
  <si>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</si>
  <si>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</si>
  <si>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</si>
  <si>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</si>
  <si>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</si>
  <si>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</si>
  <si>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</si>
  <si>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</si>
  <si>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</si>
  <si>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</si>
  <si>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</si>
  <si>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</si>
  <si>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</si>
  <si>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</si>
  <si>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</si>
  <si>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</si>
  <si>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</si>
  <si>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</si>
  <si>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</si>
  <si>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</si>
  <si>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</si>
  <si>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</si>
  <si>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</si>
  <si>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</si>
  <si>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</si>
  <si>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</si>
  <si>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</si>
  <si>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</si>
  <si>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</si>
  <si>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</si>
  <si>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</si>
  <si>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</si>
  <si>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</si>
  <si>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</si>
  <si>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</si>
  <si>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</si>
  <si>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</si>
  <si>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</si>
  <si>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</si>
  <si>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</si>
  <si>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</si>
  <si>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</si>
  <si>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</si>
  <si>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</si>
  <si>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</si>
  <si>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</si>
  <si>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</si>
  <si>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</si>
  <si>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</si>
  <si>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</si>
  <si>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</si>
  <si>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</si>
  <si>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</si>
  <si>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</si>
  <si>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</si>
  <si>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</si>
  <si>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</si>
  <si>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</si>
  <si>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</si>
  <si>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</si>
  <si>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</si>
  <si>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</si>
  <si>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</si>
  <si>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</si>
  <si>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</si>
  <si>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</si>
  <si>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</si>
  <si>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</si>
  <si>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</si>
  <si>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</si>
  <si>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</si>
  <si>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</si>
  <si>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</si>
  <si>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</si>
  <si>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</si>
  <si>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</si>
  <si>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</si>
  <si>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</si>
  <si>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</si>
  <si>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</si>
  <si>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</si>
  <si>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</si>
  <si>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</si>
  <si>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</si>
  <si>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</si>
  <si>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</si>
  <si>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</si>
  <si>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</si>
  <si>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</si>
  <si>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</si>
  <si>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</si>
  <si>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</si>
  <si>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</si>
  <si>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</si>
  <si>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</si>
  <si>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</si>
  <si>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</si>
  <si>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</si>
  <si>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</si>
  <si>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</si>
  <si>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</si>
  <si>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</si>
  <si>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</si>
  <si>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</si>
  <si>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</si>
  <si>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</si>
  <si>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</si>
  <si>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</si>
  <si>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</si>
  <si>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</si>
  <si>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</si>
  <si>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</si>
  <si>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</si>
  <si>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</si>
  <si>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</si>
  <si>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</si>
  <si>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</si>
  <si>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</si>
  <si>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</si>
  <si>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</si>
  <si>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</si>
  <si>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</si>
  <si>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</si>
  <si>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</si>
  <si>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</si>
  <si>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</si>
  <si>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</si>
  <si>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</si>
  <si>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</si>
  <si>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</si>
  <si>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</si>
  <si>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</si>
  <si>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</si>
  <si>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</si>
  <si>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</si>
  <si>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</si>
  <si>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</si>
  <si>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</si>
  <si>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</si>
  <si>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</si>
  <si>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</si>
  <si>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</si>
  <si>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</si>
  <si>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</si>
  <si>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</si>
  <si>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</si>
  <si>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</si>
  <si>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</si>
  <si>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</si>
  <si>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</si>
  <si>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</si>
  <si>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</si>
  <si>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</si>
  <si>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</si>
  <si>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</si>
  <si>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</si>
  <si>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</si>
  <si>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</si>
  <si>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</si>
  <si>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</si>
  <si>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</si>
  <si>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</si>
  <si>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</si>
  <si>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</si>
  <si>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</si>
  <si>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</si>
  <si>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</si>
  <si>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</si>
  <si>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</si>
  <si>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</si>
  <si>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</si>
  <si>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</si>
  <si>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</si>
  <si>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</si>
  <si>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</si>
  <si>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</si>
  <si>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</si>
  <si>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</si>
  <si>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</si>
  <si>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</si>
  <si>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</si>
  <si>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</si>
  <si>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</si>
  <si>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</si>
  <si>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</si>
  <si>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</si>
  <si>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</si>
  <si>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</si>
  <si>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</si>
  <si>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</si>
  <si>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</si>
  <si>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</si>
  <si>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</si>
  <si>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</si>
  <si>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</si>
  <si>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</si>
  <si>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</si>
  <si>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</si>
  <si>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</si>
  <si>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</si>
  <si>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</si>
  <si>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</si>
  <si>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</si>
  <si>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</si>
  <si>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</si>
  <si>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</si>
  <si>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</si>
  <si>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</si>
  <si>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</si>
  <si>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</si>
  <si>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</si>
  <si>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</si>
  <si>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</si>
  <si>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</si>
  <si>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</si>
  <si>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</si>
  <si>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</si>
  <si>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</si>
  <si>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</si>
  <si>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</si>
  <si>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</si>
  <si>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</si>
  <si>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</si>
  <si>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</si>
  <si>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</si>
  <si>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</si>
  <si>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</si>
  <si>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</si>
  <si>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</si>
  <si>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</si>
  <si>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</si>
  <si>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</si>
  <si>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</si>
  <si>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</si>
  <si>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</si>
  <si>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</si>
  <si>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</si>
  <si>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</si>
  <si>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</si>
  <si>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</si>
  <si>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</si>
  <si>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</si>
  <si>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</si>
  <si>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</si>
  <si>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</si>
  <si>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</si>
  <si>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</si>
  <si>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</si>
  <si>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</si>
  <si>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</si>
  <si>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</si>
  <si>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</si>
  <si>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</si>
  <si>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</si>
  <si>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</si>
  <si>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</si>
  <si>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</si>
  <si>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</si>
  <si>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</si>
  <si>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</si>
  <si>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</si>
  <si>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</si>
  <si>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</si>
  <si>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</si>
  <si>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</si>
  <si>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</si>
  <si>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</si>
  <si>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</si>
  <si>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</si>
  <si>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</si>
  <si>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</si>
  <si>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</si>
  <si>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</si>
  <si>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</si>
  <si>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</si>
  <si>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</si>
  <si>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</si>
  <si>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</si>
  <si>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</si>
  <si>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</si>
  <si>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</si>
  <si>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</si>
  <si>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</si>
  <si>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</si>
  <si>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</si>
  <si>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</si>
  <si>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</si>
  <si>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</si>
  <si>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</si>
  <si>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</si>
  <si>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</si>
  <si>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</si>
  <si>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</si>
  <si>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</si>
  <si>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</si>
  <si>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</si>
  <si>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</si>
  <si>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</si>
  <si>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</si>
  <si>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</si>
  <si>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</si>
  <si>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</si>
  <si>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</si>
  <si>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</si>
  <si>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</si>
  <si>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</si>
  <si>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</si>
  <si>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</si>
  <si>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</si>
  <si>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</si>
  <si>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</si>
  <si>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</si>
  <si>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</si>
  <si>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</si>
  <si>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</si>
  <si>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</si>
  <si>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</si>
  <si>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</si>
  <si>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</si>
  <si>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</si>
  <si>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</si>
  <si>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</si>
  <si>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</si>
  <si>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</si>
  <si>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</si>
  <si>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</si>
  <si>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</si>
  <si>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</si>
  <si>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</si>
  <si>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</si>
  <si>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</si>
  <si>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</si>
  <si>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</si>
  <si>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</si>
  <si>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</si>
  <si>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</si>
  <si>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</si>
  <si>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</si>
  <si>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</si>
  <si>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</si>
  <si>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</si>
  <si>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</si>
  <si>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</si>
  <si>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</si>
  <si>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</si>
  <si>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</si>
  <si>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</si>
  <si>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</si>
  <si>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</si>
  <si>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</si>
  <si>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</si>
  <si>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</si>
  <si>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</si>
  <si>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</si>
  <si>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</si>
  <si>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</si>
  <si>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</si>
  <si>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</si>
  <si>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</si>
  <si>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</si>
  <si>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</si>
  <si>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</si>
  <si>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</si>
  <si>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</si>
  <si>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</si>
  <si>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</si>
  <si>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</si>
  <si>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</si>
  <si>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</si>
  <si>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</si>
  <si>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</si>
  <si>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</si>
  <si>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</si>
  <si>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</si>
  <si>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</si>
  <si>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</si>
  <si>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</si>
  <si>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</si>
  <si>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</si>
  <si>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</si>
  <si>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</si>
  <si>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</si>
  <si>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</si>
  <si>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</si>
  <si>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</si>
  <si>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</si>
  <si>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</si>
  <si>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</si>
  <si>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</si>
  <si>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</si>
  <si>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</si>
  <si>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</si>
  <si>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</si>
  <si>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</si>
  <si>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</si>
  <si>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</si>
  <si>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</si>
  <si>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</si>
  <si>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</si>
  <si>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</si>
  <si>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</si>
  <si>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</si>
  <si>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</si>
  <si>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</si>
  <si>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</si>
  <si>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</si>
  <si>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</si>
  <si>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</si>
  <si>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</si>
  <si>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</si>
  <si>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</si>
  <si>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</si>
  <si>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</si>
  <si>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</si>
  <si>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</si>
  <si>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</si>
  <si>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</si>
  <si>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</si>
  <si>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</si>
  <si>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</si>
  <si>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</si>
  <si>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</si>
  <si>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</si>
  <si>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</si>
  <si>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</si>
  <si>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</si>
  <si>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</si>
  <si>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</si>
  <si>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</si>
  <si>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</si>
  <si>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</si>
  <si>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</si>
  <si>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</si>
  <si>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</si>
  <si>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</si>
  <si>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</si>
  <si>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</si>
  <si>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</si>
  <si>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</si>
  <si>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</si>
  <si>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</si>
  <si>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</si>
  <si>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</si>
  <si>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</si>
  <si>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</si>
  <si>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</si>
  <si>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</si>
  <si>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</si>
  <si>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</si>
  <si>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</si>
  <si>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</si>
  <si>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</si>
  <si>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</si>
  <si>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</si>
  <si>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</si>
  <si>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</si>
  <si>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</si>
  <si>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</si>
  <si>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</si>
  <si>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</si>
  <si>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</si>
  <si>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</si>
  <si>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</si>
  <si>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</si>
  <si>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</si>
  <si>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</si>
  <si>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</si>
  <si>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</si>
  <si>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</si>
  <si>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</si>
  <si>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</si>
  <si>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</si>
  <si>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</si>
  <si>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</si>
  <si>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</si>
  <si>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</si>
  <si>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</si>
  <si>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</si>
  <si>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</si>
  <si>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</si>
  <si>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</si>
  <si>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</si>
  <si>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</si>
  <si>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</si>
  <si>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</si>
  <si>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</si>
  <si>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</si>
  <si>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</si>
  <si>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</si>
  <si>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</si>
  <si>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</si>
  <si>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</si>
  <si>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</si>
  <si>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</si>
  <si>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</si>
  <si>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</si>
  <si>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</si>
  <si>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</si>
  <si>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</si>
  <si>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</si>
  <si>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</si>
  <si>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</si>
  <si>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</si>
  <si>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</si>
  <si>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</si>
  <si>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</si>
  <si>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</si>
  <si>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</si>
  <si>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</si>
  <si>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</si>
  <si>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</si>
  <si>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</si>
  <si>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</si>
  <si>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</si>
  <si>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</si>
  <si>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</si>
  <si>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</si>
  <si>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</si>
  <si>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</si>
  <si>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</si>
  <si>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</si>
  <si>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</si>
  <si>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</si>
  <si>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</si>
  <si>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</si>
  <si>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</si>
  <si>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</si>
  <si>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</si>
  <si>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</si>
  <si>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</si>
  <si>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</si>
  <si>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</si>
  <si>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</si>
  <si>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</si>
  <si>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</si>
  <si>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</si>
  <si>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</si>
  <si>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</si>
  <si>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</si>
  <si>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</si>
  <si>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</si>
  <si>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</si>
  <si>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</si>
  <si>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</si>
  <si>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</si>
  <si>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</si>
  <si>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</si>
  <si>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</si>
  <si>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</si>
  <si>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</si>
  <si>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</si>
  <si>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</si>
  <si>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</si>
  <si>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</si>
  <si>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</si>
  <si>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</si>
  <si>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</si>
  <si>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</si>
  <si>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</si>
  <si>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</si>
  <si>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</si>
  <si>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</si>
  <si>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</si>
  <si>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</si>
  <si>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</si>
  <si>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</si>
  <si>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</si>
  <si>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</si>
  <si>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</si>
  <si>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</si>
  <si>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</si>
  <si>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</si>
  <si>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</si>
  <si>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</si>
  <si>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</si>
  <si>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</si>
  <si>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</si>
  <si>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</si>
  <si>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</si>
  <si>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</si>
  <si>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</si>
  <si>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</si>
  <si>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</si>
  <si>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</si>
  <si>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</si>
  <si>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</si>
  <si>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</si>
  <si>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</si>
  <si>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</si>
  <si>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</si>
  <si>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</si>
  <si>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</si>
  <si>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</si>
  <si>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</si>
  <si>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</si>
  <si>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</si>
  <si>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</si>
  <si>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</si>
  <si>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</si>
  <si>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</si>
  <si>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</si>
  <si>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</si>
  <si>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</si>
  <si>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</si>
  <si>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</si>
  <si>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</si>
  <si>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</si>
  <si>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</si>
  <si>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</si>
  <si>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</si>
  <si>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</si>
  <si>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</si>
  <si>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</si>
  <si>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</si>
  <si>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</si>
  <si>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</si>
  <si>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</si>
  <si>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</si>
  <si>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</si>
  <si>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</si>
  <si>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</si>
  <si>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</si>
  <si>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</si>
  <si>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</si>
  <si>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</si>
  <si>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</si>
  <si>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</si>
  <si>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</si>
  <si>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</si>
  <si>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</si>
  <si>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</si>
  <si>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</si>
  <si>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</si>
  <si>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</si>
  <si>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</si>
  <si>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</si>
  <si>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</si>
  <si>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</si>
  <si>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</si>
  <si>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</si>
  <si>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</si>
  <si>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</si>
  <si>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</si>
  <si>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</si>
  <si>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</si>
  <si>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</si>
  <si>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</si>
  <si>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</si>
  <si>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</si>
  <si>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</si>
  <si>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</si>
  <si>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</si>
  <si>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</si>
  <si>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</si>
  <si>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</si>
  <si>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</si>
  <si>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</si>
  <si>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</si>
  <si>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</si>
  <si>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</si>
  <si>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</si>
  <si>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</si>
  <si>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</si>
  <si>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</si>
  <si>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</si>
  <si>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</si>
  <si>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</si>
  <si>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</si>
  <si>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</si>
  <si>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</si>
  <si>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</si>
  <si>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</si>
  <si>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</si>
  <si>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</si>
  <si>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</si>
  <si>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</si>
  <si>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</si>
  <si>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</si>
  <si>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</si>
  <si>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</si>
  <si>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</si>
  <si>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</si>
  <si>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</si>
  <si>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</si>
  <si>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</si>
  <si>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</si>
  <si>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</si>
  <si>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</si>
  <si>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</si>
  <si>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</si>
  <si>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</si>
  <si>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</si>
  <si>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</si>
  <si>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</si>
  <si>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</si>
  <si>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</si>
  <si>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</si>
  <si>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</si>
  <si>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</si>
  <si>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</si>
  <si>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</si>
  <si>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</si>
  <si>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</si>
  <si>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</si>
  <si>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</si>
  <si>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</si>
  <si>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</si>
  <si>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</si>
  <si>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</si>
  <si>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</si>
  <si>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</si>
  <si>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</si>
  <si>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</si>
  <si>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</si>
  <si>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</si>
  <si>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</si>
  <si>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</si>
  <si>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</si>
  <si>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</si>
  <si>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</si>
  <si>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</si>
  <si>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</si>
  <si>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</si>
  <si>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</si>
  <si>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</si>
  <si>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</si>
  <si>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</si>
  <si>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</si>
  <si>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</si>
  <si>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</si>
  <si>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</si>
  <si>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</si>
  <si>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</si>
  <si>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</si>
  <si>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</si>
  <si>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</si>
  <si>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</si>
  <si>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</si>
  <si>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</si>
  <si>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</si>
  <si>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</si>
  <si>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</si>
  <si>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</si>
  <si>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</si>
  <si>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</si>
  <si>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</si>
  <si>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</si>
  <si>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</si>
  <si>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</si>
  <si>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</si>
  <si>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</si>
  <si>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</si>
  <si>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</si>
  <si>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</si>
  <si>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</si>
  <si>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</si>
  <si>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</si>
  <si>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</si>
  <si>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</si>
  <si>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</si>
  <si>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</si>
  <si>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</si>
  <si>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</si>
  <si>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</si>
  <si>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</si>
  <si>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</si>
  <si>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</si>
  <si>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</si>
  <si>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</si>
  <si>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</si>
  <si>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</si>
  <si>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</si>
  <si>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</si>
  <si>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</si>
  <si>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</si>
  <si>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</si>
  <si>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</si>
  <si>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</si>
  <si>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</si>
  <si>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</si>
  <si>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</si>
  <si>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</si>
  <si>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</si>
  <si>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</si>
  <si>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</si>
  <si>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</si>
  <si>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</si>
  <si>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</si>
  <si>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</si>
  <si>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</si>
  <si>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</si>
  <si>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</si>
  <si>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</si>
  <si>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</si>
  <si>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</si>
  <si>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</si>
  <si>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</si>
  <si>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</si>
  <si>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</si>
  <si>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</si>
  <si>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</si>
  <si>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</si>
  <si>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</si>
  <si>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</si>
  <si>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</si>
  <si>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</si>
  <si>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</si>
  <si>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</si>
  <si>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</si>
  <si>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</si>
  <si>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</si>
  <si>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</si>
  <si>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</si>
  <si>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</si>
  <si>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</si>
  <si>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</si>
  <si>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</si>
  <si>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</si>
  <si>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</si>
  <si>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</si>
  <si>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</si>
  <si>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</si>
  <si>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</si>
  <si>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</si>
  <si>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</si>
  <si>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</si>
  <si>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</si>
  <si>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</si>
  <si>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</si>
  <si>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</si>
  <si>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</si>
  <si>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</si>
  <si>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</si>
  <si>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</si>
  <si>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</si>
  <si>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</si>
  <si>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</si>
  <si>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</si>
  <si>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</si>
  <si>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</si>
  <si>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</si>
  <si>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</si>
  <si>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</si>
  <si>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</si>
  <si>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</si>
  <si>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</si>
  <si>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</si>
  <si>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</si>
  <si>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</si>
  <si>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</si>
  <si>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</si>
  <si>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</si>
  <si>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</si>
  <si>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</si>
  <si>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</si>
  <si>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</si>
  <si>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</si>
  <si>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</si>
  <si>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</si>
  <si>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</si>
  <si>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</si>
  <si>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</si>
  <si>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</si>
  <si>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</si>
  <si>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</si>
  <si>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</si>
  <si>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</si>
  <si>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</si>
  <si>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</si>
  <si>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</si>
  <si>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</si>
  <si>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</si>
  <si>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</si>
  <si>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</si>
  <si>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</si>
  <si>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</si>
  <si>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</si>
  <si>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</si>
  <si>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</si>
  <si>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</si>
  <si>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</si>
  <si>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</si>
  <si>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</si>
  <si>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</si>
  <si>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</si>
  <si>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</si>
  <si>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</si>
  <si>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</si>
  <si>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</si>
  <si>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</si>
  <si>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</si>
  <si>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</si>
  <si>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</si>
  <si>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</si>
  <si>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</si>
  <si>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</si>
  <si>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</si>
  <si>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</si>
  <si>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</si>
  <si>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</si>
  <si>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</si>
  <si>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</si>
  <si>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</si>
  <si>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</si>
  <si>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</si>
  <si>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</si>
  <si>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</si>
  <si>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</si>
  <si>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</si>
  <si>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</si>
  <si>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</si>
  <si>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</si>
  <si>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</si>
  <si>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</si>
  <si>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</si>
  <si>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</si>
  <si>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</si>
  <si>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</si>
  <si>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</si>
  <si>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</si>
  <si>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</si>
  <si>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</si>
  <si>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</si>
  <si>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</si>
  <si>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</si>
  <si>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</si>
  <si>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</si>
  <si>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</si>
  <si>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</si>
  <si>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</si>
  <si>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</si>
  <si>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</si>
  <si>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</si>
  <si>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</si>
  <si>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</si>
  <si>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</si>
  <si>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</si>
  <si>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</si>
  <si>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</si>
  <si>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</si>
  <si>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</si>
  <si>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</si>
  <si>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</si>
  <si>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</si>
  <si>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</si>
  <si>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</si>
  <si>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</si>
  <si>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</si>
  <si>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</si>
  <si>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</si>
  <si>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</si>
  <si>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</si>
  <si>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</si>
  <si>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</si>
  <si>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</si>
  <si>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</si>
  <si>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</si>
  <si>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</si>
  <si>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</si>
  <si>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</si>
  <si>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</si>
  <si>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</si>
  <si>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</si>
  <si>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</si>
  <si>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</si>
  <si>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</si>
  <si>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</si>
  <si>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</si>
  <si>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</si>
  <si>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</si>
  <si>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</si>
  <si>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</si>
  <si>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</si>
  <si>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</si>
  <si>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</si>
  <si>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</si>
  <si>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</si>
  <si>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</si>
  <si>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</si>
  <si>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</si>
  <si>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</si>
  <si>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</si>
  <si>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</si>
  <si>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</si>
  <si>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</si>
  <si>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</si>
  <si>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</si>
  <si>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</si>
  <si>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</si>
  <si>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</si>
  <si>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</si>
  <si>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</si>
  <si>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</si>
  <si>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</si>
  <si>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</si>
  <si>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</si>
  <si>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</si>
  <si>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</si>
  <si>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</si>
  <si>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</si>
  <si>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</si>
  <si>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</si>
  <si>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</si>
  <si>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</si>
  <si>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</si>
  <si>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</si>
  <si>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</si>
  <si>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</si>
  <si>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</si>
  <si>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</si>
  <si>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</si>
  <si>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</si>
  <si>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</si>
  <si>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</si>
  <si>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</si>
  <si>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</si>
  <si>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</si>
  <si>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</si>
  <si>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</si>
  <si>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</si>
  <si>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</si>
  <si>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</si>
  <si>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</si>
  <si>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</si>
  <si>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</si>
  <si>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</si>
  <si>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</si>
  <si>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</si>
  <si>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</si>
  <si>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</si>
  <si>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</si>
  <si>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</si>
  <si>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</si>
  <si>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</si>
  <si>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</si>
  <si>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</si>
  <si>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</si>
  <si>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</si>
  <si>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</si>
  <si>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</si>
  <si>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</si>
  <si>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</si>
  <si>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</si>
  <si>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</si>
  <si>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</si>
  <si>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</si>
  <si>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</si>
  <si>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</si>
  <si>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</si>
  <si>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</si>
  <si>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</si>
  <si>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</si>
  <si>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</si>
  <si>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</si>
  <si>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</si>
  <si>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</si>
  <si>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</si>
  <si>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</si>
  <si>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</si>
  <si>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</si>
  <si>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</si>
  <si>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</si>
  <si>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</si>
  <si>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</si>
  <si>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</si>
  <si>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</si>
  <si>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</si>
  <si>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</si>
  <si>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</si>
  <si>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</si>
  <si>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</si>
  <si>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</si>
  <si>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</si>
  <si>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</si>
  <si>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</si>
  <si>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</si>
  <si>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</si>
  <si>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</si>
  <si>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</si>
  <si>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</si>
  <si>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</si>
  <si>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</si>
  <si>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</si>
  <si>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</si>
  <si>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</si>
  <si>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</si>
  <si>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</si>
  <si>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</si>
  <si>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</si>
  <si>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</si>
  <si>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</si>
  <si>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</si>
  <si>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</si>
  <si>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</si>
  <si>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</si>
  <si>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</si>
  <si>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</si>
  <si>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</si>
  <si>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</si>
  <si>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</si>
  <si>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</si>
  <si>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</si>
  <si>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</si>
  <si>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</si>
  <si>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</si>
  <si>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</si>
  <si>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</si>
  <si>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</si>
  <si>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</si>
  <si>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</si>
  <si>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</si>
  <si>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</si>
  <si>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</si>
  <si>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</si>
  <si>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</si>
  <si>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</si>
  <si>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</si>
  <si>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</si>
  <si>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</si>
  <si>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</si>
  <si>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</si>
  <si>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</si>
  <si>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</si>
  <si>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</si>
  <si>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</si>
  <si>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</si>
  <si>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</si>
  <si>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</si>
  <si>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</si>
  <si>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</si>
  <si>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</si>
  <si>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</si>
  <si>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</si>
  <si>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</si>
  <si>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</si>
  <si>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</si>
  <si>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</si>
  <si>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</si>
  <si>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</si>
  <si>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</si>
  <si>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</si>
  <si>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</si>
  <si>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</si>
  <si>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</si>
  <si>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</si>
  <si>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</si>
  <si>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</si>
  <si>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</si>
  <si>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</si>
  <si>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</si>
  <si>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</si>
  <si>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</si>
  <si>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</si>
  <si>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</si>
  <si>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</si>
  <si>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</si>
  <si>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</si>
  <si>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</si>
  <si>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</si>
  <si>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</si>
  <si>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</si>
  <si>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</si>
  <si>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</si>
  <si>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</si>
  <si>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</si>
  <si>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</si>
  <si>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</si>
  <si>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</si>
  <si>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</si>
  <si>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</si>
  <si>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</si>
  <si>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</si>
  <si>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</si>
  <si>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</si>
  <si>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</si>
  <si>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</si>
  <si>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</si>
  <si>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</si>
  <si>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</si>
  <si>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</si>
  <si>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</si>
  <si>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</si>
  <si>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</si>
  <si>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</si>
  <si>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</si>
  <si>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</si>
  <si>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</si>
  <si>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</si>
  <si>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</si>
  <si>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</si>
  <si>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</si>
  <si>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</si>
  <si>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</si>
  <si>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</si>
  <si>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</si>
  <si>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</si>
  <si>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</si>
  <si>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</si>
  <si>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</si>
  <si>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</si>
  <si>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</si>
  <si>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</si>
  <si>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</si>
  <si>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</si>
  <si>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</si>
  <si>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</si>
  <si>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</si>
  <si>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</si>
  <si>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</si>
  <si>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</si>
  <si>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</si>
  <si>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</si>
  <si>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</si>
  <si>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</si>
  <si>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</si>
  <si>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</si>
  <si>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</si>
  <si>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</si>
  <si>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</si>
  <si>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</si>
  <si>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</si>
  <si>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</si>
  <si>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</si>
  <si>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</si>
  <si>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</si>
  <si>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</si>
  <si>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</si>
  <si>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</si>
  <si>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</si>
  <si>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</si>
  <si>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</si>
  <si>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</si>
  <si>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</si>
  <si>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</si>
  <si>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</si>
  <si>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</si>
  <si>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</si>
  <si>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</si>
  <si>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</si>
  <si>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</si>
  <si>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</si>
  <si>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</si>
  <si>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</si>
  <si>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</si>
  <si>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</si>
  <si>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</si>
  <si>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</si>
  <si>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</si>
  <si>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</si>
  <si>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</si>
  <si>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</si>
  <si>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</si>
  <si>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</si>
  <si>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</si>
  <si>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</si>
  <si>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</si>
  <si>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</si>
  <si>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</si>
  <si>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</si>
  <si>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</si>
  <si>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</si>
  <si>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</si>
  <si>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</si>
  <si>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</si>
  <si>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</si>
  <si>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</si>
  <si>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</si>
  <si>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</si>
  <si>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</si>
  <si>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</si>
  <si>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</si>
  <si>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</si>
  <si>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</si>
  <si>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</si>
  <si>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</si>
  <si>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</si>
  <si>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</si>
  <si>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</si>
  <si>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</si>
  <si>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</si>
  <si>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</si>
  <si>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</si>
  <si>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</si>
  <si>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</si>
  <si>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</si>
  <si>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</si>
  <si>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</si>
  <si>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</si>
  <si>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</si>
  <si>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</si>
  <si>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</si>
  <si>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</si>
  <si>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</si>
  <si>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</si>
  <si>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</si>
  <si>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</si>
  <si>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</si>
  <si>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</si>
  <si>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</si>
  <si>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</si>
  <si>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</si>
  <si>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</si>
  <si>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</si>
  <si>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</si>
  <si>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</si>
  <si>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</si>
  <si>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</si>
  <si>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</si>
  <si>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</si>
  <si>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</si>
  <si>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</si>
  <si>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</si>
  <si>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</si>
  <si>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</si>
  <si>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</si>
  <si>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</si>
  <si>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</si>
  <si>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</si>
  <si>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</si>
  <si>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</si>
  <si>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</si>
  <si>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</si>
  <si>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</si>
  <si>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</si>
  <si>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</si>
  <si>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</si>
  <si>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</si>
  <si>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</si>
  <si>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</si>
  <si>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</si>
  <si>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</si>
  <si>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</si>
  <si>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</si>
  <si>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</si>
  <si>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</si>
  <si>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</si>
  <si>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</si>
  <si>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</si>
  <si>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</si>
  <si>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</si>
  <si>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</si>
  <si>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</si>
  <si>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</si>
  <si>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</si>
  <si>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</si>
  <si>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</si>
  <si>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</si>
  <si>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</si>
  <si>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</si>
  <si>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</si>
  <si>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</si>
  <si>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</si>
  <si>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</si>
  <si>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</si>
  <si>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</si>
  <si>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</si>
  <si>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</si>
  <si>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</si>
  <si>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</si>
  <si>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</si>
  <si>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</si>
  <si>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</si>
  <si>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</si>
  <si>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</si>
  <si>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</si>
  <si>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</si>
  <si>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</si>
  <si>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</si>
  <si>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</si>
  <si>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</si>
  <si>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</si>
  <si>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</si>
  <si>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</si>
  <si>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</si>
  <si>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</si>
  <si>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</si>
  <si>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</si>
  <si>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</si>
  <si>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</si>
  <si>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</si>
  <si>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</si>
  <si>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</si>
  <si>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</si>
  <si>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</si>
  <si>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</si>
  <si>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</si>
  <si>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</si>
  <si>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</si>
  <si>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</si>
  <si>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</si>
  <si>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</si>
  <si>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</si>
  <si>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</si>
  <si>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</si>
  <si>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</si>
  <si>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</si>
  <si>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</si>
  <si>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</si>
  <si>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</si>
  <si>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</si>
  <si>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</si>
  <si>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</si>
  <si>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</si>
  <si>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</si>
  <si>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</si>
  <si>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</si>
  <si>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</si>
  <si>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</si>
  <si>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</si>
  <si>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</si>
  <si>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</si>
  <si>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</si>
  <si>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</si>
  <si>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</si>
  <si>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</si>
  <si>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</si>
  <si>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</si>
  <si>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</si>
  <si>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</si>
  <si>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</si>
  <si>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</si>
  <si>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</si>
  <si>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</si>
  <si>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</si>
  <si>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</si>
  <si>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</si>
  <si>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</si>
  <si>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</si>
  <si>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</si>
  <si>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</si>
  <si>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</si>
  <si>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</si>
  <si>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</si>
  <si>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</si>
  <si>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</si>
  <si>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</si>
  <si>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</si>
  <si>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</si>
  <si>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</si>
  <si>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</si>
  <si>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</si>
  <si>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</si>
  <si>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</si>
  <si>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</si>
  <si>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</si>
  <si>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</si>
  <si>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</si>
  <si>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</si>
  <si>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</si>
  <si>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</si>
  <si>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</si>
  <si>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</si>
  <si>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</si>
  <si>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</si>
  <si>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</si>
  <si>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</si>
  <si>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</si>
  <si>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</si>
  <si>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</si>
  <si>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</si>
  <si>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</si>
  <si>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</si>
  <si>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</si>
  <si>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</si>
  <si>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</si>
  <si>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</si>
  <si>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</si>
  <si>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</si>
  <si>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</si>
  <si>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</si>
  <si>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</si>
  <si>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</si>
  <si>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</si>
  <si>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</si>
  <si>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</si>
  <si>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</si>
  <si>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</si>
  <si>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</si>
  <si>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</si>
  <si>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</si>
  <si>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</si>
  <si>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</si>
  <si>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</si>
  <si>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</si>
  <si>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</si>
  <si>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</si>
  <si>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</si>
  <si>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</si>
  <si>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</si>
  <si>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</si>
  <si>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</si>
  <si>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</si>
  <si>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</si>
  <si>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</si>
  <si>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</si>
  <si>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</si>
  <si>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</si>
  <si>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</si>
  <si>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</si>
  <si>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</si>
  <si>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</si>
  <si>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</si>
  <si>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</si>
  <si>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</si>
  <si>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</si>
  <si>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</si>
  <si>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</si>
  <si>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</si>
  <si>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</si>
  <si>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</si>
  <si>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</si>
  <si>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</si>
  <si>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</si>
  <si>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</si>
  <si>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</si>
  <si>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</si>
  <si>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</si>
  <si>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</si>
  <si>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</si>
  <si>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</si>
  <si>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</si>
  <si>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</si>
  <si>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</si>
  <si>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</si>
  <si>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</si>
  <si>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</si>
  <si>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</si>
  <si>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</si>
  <si>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</si>
  <si>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</si>
  <si>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</si>
  <si>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</si>
  <si>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</si>
  <si>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</si>
  <si>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</si>
  <si>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</si>
  <si>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</si>
  <si>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</si>
  <si>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</si>
  <si>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</si>
  <si>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</si>
  <si>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</si>
  <si>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</si>
  <si>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</si>
  <si>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</si>
  <si>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</si>
  <si>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</si>
  <si>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</si>
  <si>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</si>
  <si>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</si>
  <si>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</si>
  <si>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</si>
  <si>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</si>
  <si>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</si>
  <si>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</si>
  <si>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</si>
  <si>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</si>
  <si>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</si>
  <si>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</si>
  <si>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</si>
  <si>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</si>
  <si>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</si>
  <si>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</si>
  <si>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</si>
  <si>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</si>
  <si>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</si>
  <si>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</si>
  <si>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</si>
  <si>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</si>
  <si>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</si>
  <si>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</si>
  <si>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</si>
  <si>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</si>
  <si>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</si>
  <si>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</si>
  <si>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</si>
  <si>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</si>
  <si>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</si>
  <si>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</si>
  <si>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</si>
  <si>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</si>
  <si>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</si>
  <si>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</si>
  <si>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</si>
  <si>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</si>
  <si>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</si>
  <si>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</si>
  <si>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</si>
  <si>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</si>
  <si>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</si>
  <si>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</si>
  <si>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</si>
  <si>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</si>
  <si>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</si>
  <si>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</si>
  <si>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</si>
  <si>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</si>
  <si>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</si>
  <si>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</si>
  <si>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</si>
  <si>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</si>
  <si>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</si>
  <si>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</si>
  <si>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</si>
  <si>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</si>
  <si>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</si>
  <si>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</si>
  <si>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</si>
  <si>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</si>
  <si>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</si>
  <si>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</si>
  <si>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</si>
  <si>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</si>
  <si>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</si>
  <si>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</si>
  <si>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</si>
  <si>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</si>
  <si>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</si>
  <si>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</si>
  <si>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</si>
  <si>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</si>
  <si>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</si>
  <si>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</si>
  <si>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</si>
  <si>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</si>
  <si>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</si>
  <si>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</si>
  <si>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</si>
  <si>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</si>
  <si>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</si>
  <si>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</si>
  <si>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</si>
  <si>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</si>
  <si>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</si>
  <si>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</si>
  <si>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</si>
  <si>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</si>
  <si>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</si>
  <si>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</si>
  <si>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</si>
  <si>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</si>
  <si>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</si>
  <si>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</si>
  <si>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</si>
  <si>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</si>
  <si>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</si>
  <si>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</si>
  <si>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</si>
  <si>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</si>
  <si>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</si>
  <si>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</si>
  <si>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</si>
  <si>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</si>
  <si>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</si>
  <si>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</si>
  <si>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</si>
  <si>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</si>
  <si>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</si>
  <si>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</si>
  <si>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</si>
  <si>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</si>
  <si>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</si>
  <si>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</si>
  <si>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</si>
  <si>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</si>
  <si>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</si>
  <si>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</si>
  <si>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</si>
  <si>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</si>
  <si>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</si>
  <si>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</si>
  <si>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</si>
  <si>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</si>
  <si>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</si>
  <si>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</si>
  <si>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</si>
  <si>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</si>
  <si>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</si>
  <si>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</si>
  <si>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</si>
  <si>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</si>
  <si>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</si>
  <si>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</si>
  <si>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</si>
  <si>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</si>
  <si>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</si>
  <si>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</si>
  <si>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</si>
  <si>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</si>
  <si>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</si>
  <si>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</si>
  <si>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</si>
  <si>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</si>
  <si>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</si>
  <si>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</si>
  <si>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</si>
  <si>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</si>
  <si>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</si>
  <si>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</si>
  <si>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</si>
  <si>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</si>
  <si>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</si>
  <si>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</si>
  <si>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</si>
  <si>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</si>
  <si>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</si>
  <si>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</si>
  <si>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</si>
  <si>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</si>
  <si>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</si>
  <si>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</si>
  <si>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</si>
  <si>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</si>
  <si>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</si>
  <si>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</si>
  <si>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</si>
  <si>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</si>
  <si>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</si>
  <si>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</si>
  <si>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</si>
  <si>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</si>
  <si>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</si>
  <si>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</si>
  <si>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</si>
  <si>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</si>
  <si>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</si>
  <si>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</si>
  <si>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</si>
  <si>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</si>
  <si>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</si>
  <si>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</si>
  <si>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</si>
  <si>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</si>
  <si>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</si>
  <si>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</si>
  <si>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</si>
  <si>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</si>
  <si>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</si>
  <si>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</si>
  <si>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</si>
  <si>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</si>
  <si>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</si>
  <si>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</si>
  <si>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</si>
  <si>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</si>
  <si>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</si>
  <si>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</si>
  <si>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</si>
  <si>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</si>
  <si>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</si>
  <si>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</si>
  <si>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</si>
  <si>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</si>
  <si>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</si>
  <si>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</si>
  <si>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</si>
  <si>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</si>
  <si>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</si>
  <si>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</si>
  <si>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</si>
  <si>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</si>
  <si>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</si>
  <si>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</si>
  <si>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</si>
  <si>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</si>
  <si>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</si>
  <si>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</si>
  <si>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</si>
  <si>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</si>
  <si>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</si>
  <si>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</si>
  <si>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</si>
  <si>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</si>
  <si>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</si>
  <si>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</si>
  <si>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</si>
  <si>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</si>
  <si>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</si>
  <si>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</si>
  <si>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</si>
  <si>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</si>
  <si>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</si>
  <si>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</si>
  <si>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</si>
  <si>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</si>
  <si>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</si>
  <si>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</si>
  <si>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</si>
  <si>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</si>
  <si>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</si>
  <si>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</si>
  <si>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</si>
  <si>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</si>
  <si>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</si>
  <si>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</si>
  <si>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</si>
  <si>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</si>
  <si>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</si>
  <si>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</si>
  <si>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</si>
  <si>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</si>
  <si>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</si>
  <si>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</si>
  <si>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</si>
  <si>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</si>
  <si>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</si>
  <si>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</si>
  <si>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</si>
  <si>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</si>
  <si>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</si>
  <si>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</si>
  <si>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</si>
  <si>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</si>
  <si>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</si>
  <si>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</si>
  <si>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</si>
  <si>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</si>
  <si>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</si>
  <si>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</si>
  <si>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</si>
  <si>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</si>
  <si>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</si>
  <si>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</si>
  <si>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</si>
  <si>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</si>
  <si>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</si>
  <si>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</si>
  <si>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</si>
  <si>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</si>
  <si>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</si>
  <si>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</si>
  <si>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</si>
  <si>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</si>
  <si>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</si>
  <si>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</si>
  <si>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</si>
  <si>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</si>
  <si>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</si>
  <si>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</si>
  <si>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</si>
  <si>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</si>
  <si>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</si>
  <si>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</si>
  <si>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</si>
  <si>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</si>
  <si>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</si>
  <si>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</si>
  <si>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</si>
  <si>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</si>
  <si>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</si>
  <si>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</si>
  <si>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</si>
  <si>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</si>
  <si>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</si>
  <si>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</si>
  <si>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</si>
  <si>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</si>
  <si>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</si>
  <si>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</si>
  <si>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</si>
  <si>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</si>
  <si>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</si>
  <si>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</si>
  <si>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</si>
  <si>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</si>
  <si>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</si>
  <si>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</si>
  <si>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</si>
  <si>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</si>
  <si>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</si>
  <si>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</si>
  <si>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</si>
  <si>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</si>
  <si>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</si>
  <si>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</si>
  <si>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</si>
  <si>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</si>
  <si>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</si>
  <si>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</si>
  <si>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</si>
  <si>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</si>
  <si>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</si>
  <si>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</si>
  <si>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</si>
  <si>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</si>
  <si>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</si>
  <si>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</si>
  <si>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</si>
  <si>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</si>
  <si>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</si>
  <si>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</si>
  <si>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</si>
  <si>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</si>
  <si>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</si>
  <si>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</si>
  <si>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</si>
  <si>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</si>
  <si>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</si>
  <si>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</si>
  <si>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</si>
  <si>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</si>
  <si>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</si>
  <si>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</si>
  <si>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</si>
  <si>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</si>
  <si>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</si>
  <si>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</si>
  <si>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</si>
  <si>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</si>
  <si>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</si>
  <si>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</si>
  <si>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</si>
  <si>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</si>
  <si>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</si>
  <si>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</si>
  <si>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</si>
  <si>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</si>
  <si>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</si>
  <si>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</si>
  <si>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</si>
  <si>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</si>
  <si>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</si>
  <si>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</si>
  <si>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</si>
  <si>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</si>
  <si>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</si>
  <si>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</si>
  <si>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</si>
  <si>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</si>
  <si>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</si>
  <si>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</si>
  <si>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</si>
  <si>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</si>
  <si>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</si>
  <si>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</si>
  <si>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</si>
  <si>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</si>
  <si>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</si>
  <si>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</si>
  <si>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</si>
  <si>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</si>
  <si>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</si>
  <si>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</si>
  <si>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</si>
  <si>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</si>
  <si>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</si>
  <si>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</si>
  <si>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</si>
  <si>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</si>
  <si>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</si>
  <si>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</si>
  <si>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</si>
  <si>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</si>
  <si>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</si>
  <si>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</si>
  <si>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</si>
  <si>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</si>
  <si>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</si>
  <si>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</si>
  <si>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</si>
  <si>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</si>
  <si>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</si>
  <si>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</si>
  <si>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</si>
  <si>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</si>
  <si>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</si>
  <si>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</si>
  <si>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</si>
  <si>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</si>
  <si>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</si>
  <si>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</si>
  <si>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</si>
  <si>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</si>
  <si>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</si>
  <si>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</si>
  <si>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</si>
  <si>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</si>
  <si>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</si>
  <si>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</si>
  <si>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</si>
  <si>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</si>
  <si>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</si>
  <si>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</si>
  <si>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</si>
  <si>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</si>
  <si>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</si>
  <si>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</si>
  <si>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</si>
  <si>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</si>
  <si>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</si>
  <si>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</si>
  <si>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</si>
  <si>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</si>
  <si>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</si>
  <si>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</si>
  <si>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</si>
  <si>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</si>
  <si>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</si>
  <si>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</si>
  <si>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</si>
  <si>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</si>
  <si>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</si>
  <si>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</si>
  <si>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</si>
  <si>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</si>
  <si>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</si>
  <si>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</si>
  <si>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</si>
  <si>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</si>
  <si>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</si>
  <si>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</si>
  <si>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</si>
  <si>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</si>
  <si>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</si>
  <si>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</si>
  <si>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</si>
  <si>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</si>
  <si>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</si>
  <si>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</si>
  <si>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</si>
  <si>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</si>
  <si>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</si>
  <si>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</si>
  <si>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</si>
  <si>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</si>
  <si>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</si>
  <si>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</si>
  <si>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</si>
  <si>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</si>
  <si>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</si>
  <si>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</si>
  <si>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</si>
  <si>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</si>
  <si>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</si>
  <si>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</si>
  <si>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</si>
  <si>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</si>
  <si>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</si>
  <si>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</si>
  <si>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</si>
  <si>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</si>
  <si>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</si>
  <si>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</si>
  <si>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</si>
  <si>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</si>
  <si>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</si>
  <si>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</si>
  <si>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</si>
  <si>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</si>
  <si>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</si>
  <si>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</si>
  <si>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</si>
  <si>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</si>
  <si>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</si>
  <si>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</si>
  <si>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</si>
  <si>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</si>
  <si>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</si>
  <si>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</si>
  <si>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</si>
  <si>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</si>
  <si>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</si>
  <si>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</si>
  <si>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</si>
  <si>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</si>
  <si>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</si>
  <si>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</si>
  <si>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</si>
  <si>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</si>
  <si>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</si>
  <si>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</si>
  <si>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</si>
  <si>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</si>
  <si>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</si>
  <si>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</si>
  <si>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</si>
  <si>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</si>
  <si>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</si>
  <si>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</si>
  <si>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</si>
  <si>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</si>
  <si>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</si>
  <si>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</si>
  <si>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</si>
  <si>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</si>
  <si>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</si>
  <si>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</si>
  <si>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</si>
  <si>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</si>
  <si>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</si>
  <si>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</si>
  <si>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</si>
  <si>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</si>
  <si>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</si>
  <si>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</si>
  <si>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</si>
  <si>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</si>
  <si>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</si>
  <si>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</si>
  <si>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</si>
  <si>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</si>
  <si>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</si>
  <si>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</si>
  <si>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</si>
  <si>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</si>
  <si>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</si>
  <si>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</si>
  <si>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</si>
  <si>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</si>
  <si>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</si>
  <si>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</si>
  <si>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</si>
  <si>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</si>
  <si>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</si>
  <si>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</si>
  <si>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</si>
  <si>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</si>
  <si>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</si>
  <si>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</si>
  <si>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</si>
  <si>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</si>
  <si>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</si>
  <si>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</si>
  <si>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</si>
  <si>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</si>
  <si>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</si>
  <si>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</si>
  <si>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</si>
  <si>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</si>
  <si>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</si>
  <si>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</si>
  <si>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</si>
  <si>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</si>
  <si>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</si>
  <si>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</si>
  <si>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</si>
  <si>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</si>
  <si>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</si>
  <si>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</si>
  <si>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</si>
  <si>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</si>
  <si>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</si>
  <si>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</si>
  <si>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</si>
  <si>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</si>
  <si>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</si>
  <si>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</si>
  <si>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</si>
  <si>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</si>
  <si>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</si>
  <si>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</si>
  <si>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</si>
  <si>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</si>
  <si>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</si>
  <si>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</si>
  <si>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</si>
  <si>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</si>
  <si>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</si>
  <si>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</si>
  <si>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</si>
  <si>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</si>
  <si>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</si>
  <si>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</si>
  <si>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</si>
  <si>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</si>
  <si>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</si>
  <si>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</si>
  <si>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</si>
  <si>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</si>
  <si>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</si>
  <si>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</si>
  <si>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</si>
  <si>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</si>
  <si>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</si>
  <si>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</si>
  <si>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</si>
  <si>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</si>
  <si>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</si>
  <si>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</si>
  <si>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</si>
  <si>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</si>
  <si>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</si>
  <si>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</si>
  <si>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</si>
  <si>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</si>
  <si>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</si>
  <si>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</si>
  <si>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</si>
  <si>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</si>
  <si>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</si>
  <si>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</si>
  <si>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</si>
  <si>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</si>
  <si>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</si>
  <si>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</si>
  <si>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</si>
  <si>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</si>
  <si>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</si>
  <si>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</si>
  <si>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</si>
  <si>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</si>
  <si>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</si>
  <si>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</si>
  <si>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</si>
  <si>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</si>
  <si>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</si>
  <si>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</si>
  <si>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</si>
  <si>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</si>
  <si>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</si>
  <si>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</si>
  <si>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</si>
  <si>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</si>
  <si>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</si>
  <si>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</si>
  <si>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</si>
  <si>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</si>
  <si>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</si>
  <si>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</si>
  <si>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</si>
  <si>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</si>
  <si>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</si>
  <si>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</si>
  <si>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</si>
  <si>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</si>
  <si>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</si>
  <si>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</si>
  <si>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</si>
  <si>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</si>
  <si>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</si>
  <si>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</si>
  <si>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</si>
  <si>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</si>
  <si>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</si>
  <si>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</si>
  <si>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</si>
  <si>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</si>
  <si>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</si>
  <si>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</si>
  <si>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</si>
  <si>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</si>
  <si>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</si>
  <si>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</si>
  <si>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</si>
  <si>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</si>
  <si>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</si>
  <si>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</si>
  <si>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</si>
  <si>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</si>
  <si>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</si>
  <si>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</si>
  <si>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</si>
  <si>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</si>
  <si>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</si>
  <si>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</si>
  <si>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</si>
  <si>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</si>
  <si>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</si>
  <si>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</si>
  <si>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</si>
  <si>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</si>
  <si>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</si>
  <si>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</si>
  <si>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</si>
  <si>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</si>
  <si>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</si>
  <si>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</si>
  <si>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</si>
  <si>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</si>
  <si>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</si>
  <si>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</si>
  <si>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</si>
  <si>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</si>
  <si>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</si>
  <si>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</si>
  <si>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</si>
  <si>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</si>
  <si>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</si>
  <si>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</si>
  <si>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</si>
  <si>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</si>
  <si>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</si>
  <si>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</si>
  <si>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</si>
  <si>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</si>
  <si>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</si>
  <si>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</si>
  <si>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</si>
  <si>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</si>
  <si>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</si>
  <si>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</si>
  <si>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</si>
  <si>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</si>
  <si>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</si>
  <si>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</si>
  <si>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</si>
  <si>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</si>
  <si>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</si>
  <si>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</si>
  <si>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</si>
  <si>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</si>
  <si>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</si>
  <si>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</si>
  <si>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</si>
  <si>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</si>
  <si>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</si>
  <si>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</si>
  <si>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</si>
  <si>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</si>
  <si>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</si>
  <si>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</si>
  <si>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</si>
  <si>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</si>
  <si>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</si>
  <si>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</si>
  <si>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</si>
  <si>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</si>
  <si>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</si>
  <si>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</si>
  <si>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</si>
  <si>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</si>
  <si>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</si>
  <si>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</si>
  <si>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</si>
  <si>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</si>
  <si>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</si>
  <si>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</si>
  <si>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</si>
  <si>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</si>
  <si>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</si>
  <si>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</si>
  <si>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</si>
  <si>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</si>
  <si>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</si>
  <si>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</si>
  <si>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</si>
  <si>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</si>
  <si>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</si>
  <si>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</si>
  <si>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</si>
  <si>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</si>
  <si>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</si>
  <si>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</si>
  <si>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</si>
  <si>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</si>
  <si>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</si>
  <si>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</si>
  <si>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</si>
  <si>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</si>
  <si>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</si>
  <si>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</si>
  <si>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</si>
  <si>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</si>
  <si>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</si>
  <si>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</si>
  <si>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</si>
  <si>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</si>
  <si>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</si>
  <si>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</si>
  <si>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</si>
  <si>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</si>
  <si>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</si>
  <si>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</si>
  <si>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</si>
  <si>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</si>
  <si>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</si>
  <si>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</si>
  <si>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</si>
  <si>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</si>
  <si>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</si>
  <si>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</si>
  <si>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</si>
  <si>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</si>
  <si>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</si>
  <si>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</si>
  <si>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</si>
  <si>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</si>
  <si>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</si>
  <si>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</si>
  <si>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</si>
  <si>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</si>
  <si>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</si>
  <si>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</si>
  <si>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</si>
  <si>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</si>
  <si>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</si>
  <si>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</si>
  <si>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</si>
  <si>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</si>
  <si>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</si>
  <si>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</si>
  <si>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</si>
  <si>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</si>
  <si>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</si>
  <si>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</si>
  <si>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</si>
  <si>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</si>
  <si>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</si>
  <si>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</si>
  <si>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</si>
  <si>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</si>
  <si>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</si>
  <si>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</si>
  <si>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</si>
  <si>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</si>
  <si>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</si>
  <si>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</si>
  <si>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</si>
  <si>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</si>
  <si>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</si>
  <si>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</si>
  <si>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</si>
  <si>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</si>
  <si>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</si>
  <si>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</si>
  <si>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</si>
  <si>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</si>
  <si>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</si>
  <si>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</si>
  <si>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</si>
  <si>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</si>
  <si>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</si>
  <si>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</si>
  <si>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</si>
  <si>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</si>
  <si>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</si>
  <si>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</si>
  <si>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</si>
  <si>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</si>
  <si>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</si>
  <si>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</si>
  <si>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</si>
  <si>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</si>
  <si>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</si>
  <si>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</si>
  <si>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</si>
  <si>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</si>
  <si>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</si>
  <si>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</si>
  <si>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</si>
  <si>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</si>
  <si>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</si>
  <si>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</si>
  <si>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</si>
  <si>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LE CHAPOUILLET</t>
  </si>
  <si>
    <t xml:space="preserve">LE CHAPOUILLET A ST-CHELY D'APCHER</t>
  </si>
  <si>
    <t xml:space="preserve">05097900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</si>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</sst>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42613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10.6470588235294</v>
      </c>
      <c r="N5" s="324"/>
      <c r="O5" s="325" t="s">
        <v>2051</v>
      </c>
      <c r="P5" s="326" t="n">
        <v>10.4666666666667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5</v>
      </c>
      <c r="C7" s="342" t="n">
        <v>95</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10.2857142857143</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3399</v>
      </c>
      <c r="B9" s="358" t="n">
        <v>8</v>
      </c>
      <c r="C9" s="359" t="n">
        <v>25</v>
      </c>
      <c r="D9" s="360"/>
      <c r="E9" s="360"/>
      <c r="F9" s="361" t="n">
        <f aca="false">($B9*$B$7+$C9*$C$7)/100</f>
        <v>24.15</v>
      </c>
      <c r="G9" s="362"/>
      <c r="H9" s="317"/>
      <c r="I9" s="281"/>
      <c r="J9" s="363"/>
      <c r="K9" s="364"/>
      <c r="L9" s="347"/>
      <c r="M9" s="365"/>
      <c r="N9" s="355" t="s">
        <v>3400</v>
      </c>
      <c r="O9" s="356" t="n">
        <f aca="false">IF(ISERROR(STDEVP(J23:J82))," ",STDEVP(J23:J82))</f>
        <v>2.91372543633873</v>
      </c>
      <c r="P9" s="356" t="n">
        <f aca="false">IF(ISERROR(STDEVP(K23:K82)),"  ",STDEVP(K23:K82))</f>
        <v>0.626783170528009</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4</v>
      </c>
      <c r="M13" s="381"/>
      <c r="N13" s="389" t="s">
        <v>3413</v>
      </c>
      <c r="O13" s="390" t="n">
        <f aca="false">COUNTIF(F23:F82,"&gt;0")</f>
        <v>19</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13</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0.736842105263158</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7.37</v>
      </c>
      <c r="C20" s="433" t="n">
        <f aca="false">SUM(C23:C82)</f>
        <v>24.145</v>
      </c>
      <c r="D20" s="434"/>
      <c r="E20" s="435" t="s">
        <v>3426</v>
      </c>
      <c r="F20" s="436" t="n">
        <f aca="false">($B20*$B$7+$C20*$C$7)/100</f>
        <v>23.30625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0.3685</v>
      </c>
      <c r="C21" s="444" t="n">
        <f aca="false">C20*C7/100</f>
        <v>22.93775</v>
      </c>
      <c r="D21" s="445" t="s">
        <v>3429</v>
      </c>
      <c r="E21" s="446"/>
      <c r="F21" s="447" t="n">
        <f aca="false">B21+C21</f>
        <v>23.30625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395</v>
      </c>
      <c r="B23" s="472"/>
      <c r="C23" s="473" t="n">
        <v>0.01</v>
      </c>
      <c r="D23" s="474" t="str">
        <f aca="false">IF(ISERROR(VLOOKUP($A23,'liste reference'!$A$6:$B$1174,2,0)),IF(ISERROR(VLOOKUP($A23,'liste reference'!$B$6:$B$1174,1,0)),"",VLOOKUP($A23,'liste reference'!$B$6:$B$1174,1,0)),VLOOKUP($A23,'liste reference'!$A$6:$B$1174,2,0))</f>
        <v>Vaucheria sp.</v>
      </c>
      <c r="E23" s="475" t="e">
        <f aca="false">IF(D23="",0,VLOOKUP(D23,D$22:D22,1,0))</f>
        <v>#N/A</v>
      </c>
      <c r="F23" s="476" t="n">
        <f aca="false">IF(AND(OR(A23="",A23="!!!!!!"),B23="",C23=""),"",IF(OR(AND(B23="",C23=""),ISERROR(C23+B23)),"!!!",($B23*$B$7+$C23*$C$7)/100))</f>
        <v>0.0095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4</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1169</v>
      </c>
      <c r="R23" s="484" t="n">
        <f aca="false">IF(ISTEXT(H23),"",(B23*$B$7/100)+(C23*$C$7/100))</f>
        <v>0.0095</v>
      </c>
      <c r="S23" s="485" t="n">
        <f aca="false">IF(OR(ISTEXT(H23),R23=0),"",IF(R23&lt;0.1,1,IF(R23&lt;1,2,IF(R23&lt;10,3,IF(R23&lt;50,4,IF(R23&gt;=50,5,""))))))</f>
        <v>1</v>
      </c>
      <c r="T23" s="485" t="n">
        <f aca="false">IF(ISERROR(S23*J23),0,S23*J23)</f>
        <v>4</v>
      </c>
      <c r="U23" s="485" t="n">
        <f aca="false">IF(ISERROR(S23*J23*K23),0,S23*J23*K23)</f>
        <v>4</v>
      </c>
      <c r="V23" s="485" t="n">
        <f aca="false">IF(ISERROR(S23*K23),0,S23*K23)</f>
        <v>1</v>
      </c>
      <c r="W23" s="486"/>
      <c r="X23" s="487"/>
      <c r="Y23" s="488" t="str">
        <f aca="false">IF(AND(ISNUMBER(F23),OR(A23="",A23="!!!!!!")),"!!!!!!",IF(A23="new.cod","NEWCOD",IF(AND((Z23=""),ISTEXT(A23),A23&lt;&gt;"!!!!!!"),A23,IF(Z23="","",INDEX('liste reference'!$A$6:$A$1174,Z23)))))</f>
        <v>VAUSPX</v>
      </c>
      <c r="Z23" s="470" t="n">
        <f aca="false">IF(ISERROR(MATCH(A23,'liste reference'!$A$6:$A$1174,0)),IF(ISERROR(MATCH(A23,'liste reference'!$B$6:$B$1174,0)),"",(MATCH(A23,'liste reference'!$B$6:$B$1174,0))),(MATCH(A23,'liste reference'!$A$6:$A$1174,0)))</f>
        <v>118</v>
      </c>
    </row>
    <row r="24" customFormat="false" ht="12.75" hidden="false" customHeight="false" outlineLevel="0" collapsed="false">
      <c r="A24" s="489" t="s">
        <v>830</v>
      </c>
      <c r="B24" s="490" t="n">
        <v>0.005</v>
      </c>
      <c r="C24" s="491"/>
      <c r="D24" s="492" t="str">
        <f aca="false">IF(ISERROR(VLOOKUP($A24,'liste reference'!$A$6:$B$1174,2,0)),IF(ISERROR(VLOOKUP($A24,'liste reference'!$B$6:$B$1174,1,0)),"",VLOOKUP($A24,'liste reference'!$B$6:$B$1174,1,0)),VLOOKUP($A24,'liste reference'!$A$6:$B$1174,2,0))</f>
        <v>Fissidens crassipes</v>
      </c>
      <c r="E24" s="493" t="e">
        <f aca="false">IF(D24="",0,VLOOKUP(D24,D$22:D23,1,0))</f>
        <v>#N/A</v>
      </c>
      <c r="F24" s="494" t="n">
        <f aca="false">IF(AND(OR(A24="",A24="!!!!!!"),B24="",C24=""),"",IF(OR(AND(B24="",C24=""),ISERROR(C24+B24)),"!!!",($B24*$B$7+$C24*$C$7)/100))</f>
        <v>0.00025</v>
      </c>
      <c r="G24" s="495" t="str">
        <f aca="false">IF(A24="","",IF(ISERROR(VLOOKUP($A24,'liste reference'!$A$6:$Q$1174,9,0)),IF(ISERROR(VLOOKUP($A24,'liste reference'!$B$6:$Q$1174,8,0)),"    -",VLOOKUP($A24,'liste reference'!$B$6:$Q$1174,8,0)),VLOOKUP($A24,'liste reference'!$A$6:$Q$1174,9,0)))</f>
        <v>BRm</v>
      </c>
      <c r="H24" s="496" t="n">
        <f aca="false">IF(A24="","x",IF(ISERROR(VLOOKUP($A24,'liste reference'!$A$6:$Q$1174,10,0)),IF(ISERROR(VLOOKUP($A24,'liste reference'!$B$6:$Q$1174,9,0)),"x",VLOOKUP($A24,'liste reference'!$B$6:$Q$1174,9,0)),VLOOKUP($A24,'liste reference'!$A$6:$Q$1174,10,0)))</f>
        <v>5</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Fissidens crassipes</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1294</v>
      </c>
      <c r="R24" s="484" t="n">
        <f aca="false">IF(ISTEXT(H24),"",(B24*$B$7/100)+(C24*$C$7/100))</f>
        <v>0.00025</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FISCRA</v>
      </c>
      <c r="Z24" s="470" t="n">
        <f aca="false">IF(ISERROR(MATCH(A24,'liste reference'!$A$6:$A$1174,0)),IF(ISERROR(MATCH(A24,'liste reference'!$B$6:$B$1174,0)),"",(MATCH(A24,'liste reference'!$B$6:$B$1174,0))),(MATCH(A24,'liste reference'!$A$6:$A$1174,0)))</f>
        <v>255</v>
      </c>
    </row>
    <row r="25" customFormat="false" ht="12.75" hidden="false" customHeight="false" outlineLevel="0" collapsed="false">
      <c r="A25" s="489" t="s">
        <v>889</v>
      </c>
      <c r="B25" s="490" t="n">
        <v>0.1</v>
      </c>
      <c r="C25" s="491"/>
      <c r="D25" s="492" t="str">
        <f aca="false">IF(ISERROR(VLOOKUP($A25,'liste reference'!$A$6:$B$1174,2,0)),IF(ISERROR(VLOOKUP($A25,'liste reference'!$B$6:$B$1174,1,0)),"",VLOOKUP($A25,'liste reference'!$B$6:$B$1174,1,0)),VLOOKUP($A25,'liste reference'!$A$6:$B$1174,2,0))</f>
        <v>Fontinalis antipyretica</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BRm</v>
      </c>
      <c r="H25" s="496" t="n">
        <f aca="false">IF(A25="","x",IF(ISERROR(VLOOKUP($A25,'liste reference'!$A$6:$Q$1174,10,0)),IF(ISERROR(VLOOKUP($A25,'liste reference'!$B$6:$Q$1174,9,0)),"x",VLOOKUP($A25,'liste reference'!$B$6:$Q$1174,9,0)),VLOOKUP($A25,'liste reference'!$A$6:$Q$1174,10,0)))</f>
        <v>5</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Fontinalis antipyretica</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1310</v>
      </c>
      <c r="R25" s="484" t="n">
        <f aca="false">IF(ISTEXT(H25),"",(B25*$B$7/100)+(C25*$C$7/100))</f>
        <v>0.005</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FONANT</v>
      </c>
      <c r="Z25" s="470" t="n">
        <f aca="false">IF(ISERROR(MATCH(A25,'liste reference'!$A$6:$A$1174,0)),IF(ISERROR(MATCH(A25,'liste reference'!$B$6:$B$1174,0)),"",(MATCH(A25,'liste reference'!$B$6:$B$1174,0))),(MATCH(A25,'liste reference'!$A$6:$A$1174,0)))</f>
        <v>273</v>
      </c>
    </row>
    <row r="26" customFormat="false" ht="12.75" hidden="false" customHeight="false" outlineLevel="0" collapsed="false">
      <c r="A26" s="489" t="s">
        <v>974</v>
      </c>
      <c r="B26" s="490" t="n">
        <v>1</v>
      </c>
      <c r="C26" s="491" t="n">
        <v>0.005</v>
      </c>
      <c r="D26" s="492" t="str">
        <f aca="false">IF(ISERROR(VLOOKUP($A26,'liste reference'!$A$6:$B$1174,2,0)),IF(ISERROR(VLOOKUP($A26,'liste reference'!$B$6:$B$1174,1,0)),"",VLOOKUP($A26,'liste reference'!$B$6:$B$1174,1,0)),VLOOKUP($A26,'liste reference'!$A$6:$B$1174,2,0))</f>
        <v>Leptodictyum riparium </v>
      </c>
      <c r="E26" s="493" t="e">
        <f aca="false">IF(D26="",0,VLOOKUP(D26,D$22:D25,1,0))</f>
        <v>#N/A</v>
      </c>
      <c r="F26" s="494" t="n">
        <f aca="false">IF(AND(OR(A26="",A26="!!!!!!"),B26="",C26=""),"",IF(OR(AND(B26="",C26=""),ISERROR(C26+B26)),"!!!",($B26*$B$7+$C26*$C$7)/100))</f>
        <v>0.05475</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Leptodictyum riparium </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1244</v>
      </c>
      <c r="R26" s="484" t="n">
        <f aca="false">IF(ISTEXT(H26),"",(B26*$B$7/100)+(C26*$C$7/100))</f>
        <v>0.05475</v>
      </c>
      <c r="S26" s="485" t="n">
        <f aca="false">IF(OR(ISTEXT(H26),R26=0),"",IF(R26&lt;0.1,1,IF(R26&lt;1,2,IF(R26&lt;10,3,IF(R26&lt;50,4,IF(R26&gt;=50,5,""))))))</f>
        <v>1</v>
      </c>
      <c r="T26" s="485" t="n">
        <f aca="false">IF(ISERROR(S26*J26),0,S26*J26)</f>
        <v>5</v>
      </c>
      <c r="U26" s="485" t="n">
        <f aca="false">IF(ISERROR(S26*J26*K26),0,S26*J26*K26)</f>
        <v>10</v>
      </c>
      <c r="V26" s="501" t="n">
        <f aca="false">IF(ISERROR(S26*K26),0,S26*K26)</f>
        <v>2</v>
      </c>
      <c r="W26" s="502"/>
      <c r="X26" s="503"/>
      <c r="Y26" s="488" t="str">
        <f aca="false">IF(AND(ISNUMBER(F26),OR(A26="",A26="!!!!!!")),"!!!!!!",IF(A26="new.cod","NEWCOD",IF(AND((Z26=""),ISTEXT(A26),A26&lt;&gt;"!!!!!!"),A26,IF(Z26="","",INDEX('liste reference'!$A$6:$A$1174,Z26)))))</f>
        <v>LEORIP</v>
      </c>
      <c r="Z26" s="470" t="n">
        <f aca="false">IF(ISERROR(MATCH(A26,'liste reference'!$A$6:$A$1174,0)),IF(ISERROR(MATCH(A26,'liste reference'!$B$6:$B$1174,0)),"",(MATCH(A26,'liste reference'!$B$6:$B$1174,0))),(MATCH(A26,'liste reference'!$A$6:$A$1174,0)))</f>
        <v>298</v>
      </c>
    </row>
    <row r="27" customFormat="false" ht="12.75" hidden="false" customHeight="false" outlineLevel="0" collapsed="false">
      <c r="A27" s="489" t="s">
        <v>1122</v>
      </c>
      <c r="B27" s="490" t="n">
        <v>0.01</v>
      </c>
      <c r="C27" s="491"/>
      <c r="D27" s="492" t="str">
        <f aca="false">IF(ISERROR(VLOOKUP($A27,'liste reference'!$A$6:$B$1174,2,0)),IF(ISERROR(VLOOKUP($A27,'liste reference'!$B$6:$B$1174,1,0)),"",VLOOKUP($A27,'liste reference'!$B$6:$B$1174,1,0)),VLOOKUP($A27,'liste reference'!$A$6:$B$1174,2,0))</f>
        <v>Rhynchostegium riparioides</v>
      </c>
      <c r="E27" s="493" t="e">
        <f aca="false">IF(D27="",0,VLOOKUP(D27,D$22:D26,1,0))</f>
        <v>#N/A</v>
      </c>
      <c r="F27" s="494" t="n">
        <f aca="false">IF(AND(OR(A27="",A27="!!!!!!"),B27="",C27=""),"",IF(OR(AND(B27="",C27=""),ISERROR(C27+B27)),"!!!",($B27*$B$7+$C27*$C$7)/100))</f>
        <v>0.0005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Rhynchostegium riparioides</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31691</v>
      </c>
      <c r="R27" s="484" t="n">
        <f aca="false">IF(ISTEXT(H27),"",(B27*$B$7/100)+(C27*$C$7/100))</f>
        <v>0.0005</v>
      </c>
      <c r="S27" s="485" t="n">
        <f aca="false">IF(OR(ISTEXT(H27),R27=0),"",IF(R27&lt;0.1,1,IF(R27&lt;1,2,IF(R27&lt;10,3,IF(R27&lt;50,4,IF(R27&gt;=50,5,""))))))</f>
        <v>1</v>
      </c>
      <c r="T27" s="485" t="n">
        <f aca="false">IF(ISERROR(S27*J27),0,S27*J27)</f>
        <v>12</v>
      </c>
      <c r="U27" s="485" t="n">
        <f aca="false">IF(ISERROR(S27*J27*K27),0,S27*J27*K27)</f>
        <v>12</v>
      </c>
      <c r="V27" s="501" t="n">
        <f aca="false">IF(ISERROR(S27*K27),0,S27*K27)</f>
        <v>1</v>
      </c>
      <c r="W27" s="502"/>
      <c r="X27" s="503"/>
      <c r="Y27" s="488" t="str">
        <f aca="false">IF(AND(ISNUMBER(F27),OR(A27="",A27="!!!!!!")),"!!!!!!",IF(A27="new.cod","NEWCOD",IF(AND((Z27=""),ISTEXT(A27),A27&lt;&gt;"!!!!!!"),A27,IF(Z27="","",INDEX('liste reference'!$A$6:$A$1174,Z27)))))</f>
        <v>RHYRIP</v>
      </c>
      <c r="Z27" s="470" t="n">
        <f aca="false">IF(ISERROR(MATCH(A27,'liste reference'!$A$6:$A$1174,0)),IF(ISERROR(MATCH(A27,'liste reference'!$B$6:$B$1174,0)),"",(MATCH(A27,'liste reference'!$B$6:$B$1174,0))),(MATCH(A27,'liste reference'!$A$6:$A$1174,0)))</f>
        <v>345</v>
      </c>
    </row>
    <row r="28" customFormat="false" ht="12.75" hidden="false" customHeight="false" outlineLevel="0" collapsed="false">
      <c r="A28" s="489" t="s">
        <v>1257</v>
      </c>
      <c r="B28" s="490"/>
      <c r="C28" s="491" t="n">
        <v>0.01</v>
      </c>
      <c r="D28" s="492" t="str">
        <f aca="false">IF(ISERROR(VLOOKUP($A28,'liste reference'!$A$6:$B$1174,2,0)),IF(ISERROR(VLOOKUP($A28,'liste reference'!$B$6:$B$1174,1,0)),"",VLOOKUP($A28,'liste reference'!$B$6:$B$1174,1,0)),VLOOKUP($A28,'liste reference'!$A$6:$B$1174,2,0))</f>
        <v>Equisetum fluviatile</v>
      </c>
      <c r="E28" s="493" t="e">
        <f aca="false">IF(D28="",0,VLOOKUP(D28,D$22:D27,1,0))</f>
        <v>#N/A</v>
      </c>
      <c r="F28" s="494" t="n">
        <f aca="false">IF(AND(OR(A28="",A28="!!!!!!"),B28="",C28=""),"",IF(OR(AND(B28="",C28=""),ISERROR(C28+B28)),"!!!",($B28*$B$7+$C28*$C$7)/100))</f>
        <v>0.0095</v>
      </c>
      <c r="G28" s="495" t="str">
        <f aca="false">IF(A28="","",IF(ISERROR(VLOOKUP($A28,'liste reference'!$A$6:$Q$1174,9,0)),IF(ISERROR(VLOOKUP($A28,'liste reference'!$B$6:$Q$1174,8,0)),"    -",VLOOKUP($A28,'liste reference'!$B$6:$Q$1174,8,0)),VLOOKUP($A28,'liste reference'!$A$6:$Q$1174,9,0)))</f>
        <v>PTE</v>
      </c>
      <c r="H28" s="496" t="n">
        <f aca="false">IF(A28="","x",IF(ISERROR(VLOOKUP($A28,'liste reference'!$A$6:$Q$1174,10,0)),IF(ISERROR(VLOOKUP($A28,'liste reference'!$B$6:$Q$1174,9,0)),"x",VLOOKUP($A28,'liste reference'!$B$6:$Q$1174,9,0)),VLOOKUP($A28,'liste reference'!$A$6:$Q$1174,10,0)))</f>
        <v>6</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Equisetum fluviatile</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1385</v>
      </c>
      <c r="R28" s="484" t="n">
        <f aca="false">IF(ISTEXT(H28),"",(B28*$B$7/100)+(C28*$C$7/100))</f>
        <v>0.0095</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EQUFLU</v>
      </c>
      <c r="Z28" s="470" t="n">
        <f aca="false">IF(ISERROR(MATCH(A28,'liste reference'!$A$6:$A$1174,0)),IF(ISERROR(MATCH(A28,'liste reference'!$B$6:$B$1174,0)),"",(MATCH(A28,'liste reference'!$B$6:$B$1174,0))),(MATCH(A28,'liste reference'!$A$6:$A$1174,0)))</f>
        <v>386</v>
      </c>
    </row>
    <row r="29" customFormat="false" ht="12.75" hidden="false" customHeight="false" outlineLevel="0" collapsed="false">
      <c r="A29" s="489" t="s">
        <v>1389</v>
      </c>
      <c r="B29" s="490" t="n">
        <v>4</v>
      </c>
      <c r="C29" s="491" t="n">
        <v>5.75</v>
      </c>
      <c r="D29" s="492" t="str">
        <f aca="false">IF(ISERROR(VLOOKUP($A29,'liste reference'!$A$6:$B$1174,2,0)),IF(ISERROR(VLOOKUP($A29,'liste reference'!$B$6:$B$1174,1,0)),"",VLOOKUP($A29,'liste reference'!$B$6:$B$1174,1,0)),VLOOKUP($A29,'liste reference'!$A$6:$B$1174,2,0))</f>
        <v>Callitriche hamulata</v>
      </c>
      <c r="E29" s="493" t="e">
        <f aca="false">IF(D29="",0,VLOOKUP(D29,D$22:D28,1,0))</f>
        <v>#N/A</v>
      </c>
      <c r="F29" s="494" t="n">
        <f aca="false">IF(AND(OR(A29="",A29="!!!!!!"),B29="",C29=""),"",IF(OR(AND(B29="",C29=""),ISERROR(C29+B29)),"!!!",($B29*$B$7+$C29*$C$7)/100))</f>
        <v>5.6625</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Callitriche hamulata</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1698</v>
      </c>
      <c r="R29" s="484" t="n">
        <f aca="false">IF(ISTEXT(H29),"",(B29*$B$7/100)+(C29*$C$7/100))</f>
        <v>5.6625</v>
      </c>
      <c r="S29" s="485" t="n">
        <f aca="false">IF(OR(ISTEXT(H29),R29=0),"",IF(R29&lt;0.1,1,IF(R29&lt;1,2,IF(R29&lt;10,3,IF(R29&lt;50,4,IF(R29&gt;=50,5,""))))))</f>
        <v>3</v>
      </c>
      <c r="T29" s="485" t="n">
        <f aca="false">IF(ISERROR(S29*J29),0,S29*J29)</f>
        <v>36</v>
      </c>
      <c r="U29" s="485" t="n">
        <f aca="false">IF(ISERROR(S29*J29*K29),0,S29*J29*K29)</f>
        <v>36</v>
      </c>
      <c r="V29" s="501" t="n">
        <f aca="false">IF(ISERROR(S29*K29),0,S29*K29)</f>
        <v>3</v>
      </c>
      <c r="W29" s="502"/>
      <c r="X29" s="503"/>
      <c r="Y29" s="488" t="str">
        <f aca="false">IF(AND(ISNUMBER(F29),OR(A29="",A29="!!!!!!")),"!!!!!!",IF(A29="new.cod","NEWCOD",IF(AND((Z29=""),ISTEXT(A29),A29&lt;&gt;"!!!!!!"),A29,IF(Z29="","",INDEX('liste reference'!$A$6:$A$1174,Z29)))))</f>
        <v>CALHAM</v>
      </c>
      <c r="Z29" s="470" t="n">
        <f aca="false">IF(ISERROR(MATCH(A29,'liste reference'!$A$6:$A$1174,0)),IF(ISERROR(MATCH(A29,'liste reference'!$B$6:$B$1174,0)),"",(MATCH(A29,'liste reference'!$B$6:$B$1174,0))),(MATCH(A29,'liste reference'!$A$6:$A$1174,0)))</f>
        <v>432</v>
      </c>
    </row>
    <row r="30" customFormat="false" ht="12.75" hidden="false" customHeight="false" outlineLevel="0" collapsed="false">
      <c r="A30" s="489" t="s">
        <v>1522</v>
      </c>
      <c r="B30" s="490" t="n">
        <v>2</v>
      </c>
      <c r="C30" s="491" t="n">
        <v>2</v>
      </c>
      <c r="D30" s="492" t="str">
        <f aca="false">IF(ISERROR(VLOOKUP($A30,'liste reference'!$A$6:$B$1174,2,0)),IF(ISERROR(VLOOKUP($A30,'liste reference'!$B$6:$B$1174,1,0)),"",VLOOKUP($A30,'liste reference'!$B$6:$B$1174,1,0)),VLOOKUP($A30,'liste reference'!$A$6:$B$1174,2,0))</f>
        <v>Lemna minor</v>
      </c>
      <c r="E30" s="493" t="e">
        <f aca="false">IF(D30="",0,VLOOKUP(D30,D$22:D29,1,0))</f>
        <v>#N/A</v>
      </c>
      <c r="F30" s="494" t="n">
        <f aca="false">IF(AND(OR(A30="",A30="!!!!!!"),B30="",C30=""),"",IF(OR(AND(B30="",C30=""),ISERROR(C30+B30)),"!!!",($B30*$B$7+$C30*$C$7)/100))</f>
        <v>2</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Lemna minor</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1626</v>
      </c>
      <c r="R30" s="484" t="n">
        <f aca="false">IF(ISTEXT(H30),"",(B30*$B$7/100)+(C30*$C$7/100))</f>
        <v>2</v>
      </c>
      <c r="S30" s="485" t="n">
        <f aca="false">IF(OR(ISTEXT(H30),R30=0),"",IF(R30&lt;0.1,1,IF(R30&lt;1,2,IF(R30&lt;10,3,IF(R30&lt;50,4,IF(R30&gt;=50,5,""))))))</f>
        <v>3</v>
      </c>
      <c r="T30" s="485" t="n">
        <f aca="false">IF(ISERROR(S30*J30),0,S30*J30)</f>
        <v>30</v>
      </c>
      <c r="U30" s="485" t="n">
        <f aca="false">IF(ISERROR(S30*J30*K30),0,S30*J30*K30)</f>
        <v>30</v>
      </c>
      <c r="V30" s="501" t="n">
        <f aca="false">IF(ISERROR(S30*K30),0,S30*K30)</f>
        <v>3</v>
      </c>
      <c r="W30" s="502"/>
      <c r="X30" s="503"/>
      <c r="Y30" s="488" t="str">
        <f aca="false">IF(AND(ISNUMBER(F30),OR(A30="",A30="!!!!!!")),"!!!!!!",IF(A30="new.cod","NEWCOD",IF(AND((Z30=""),ISTEXT(A30),A30&lt;&gt;"!!!!!!"),A30,IF(Z30="","",INDEX('liste reference'!$A$6:$A$1174,Z30)))))</f>
        <v>LEMMIN</v>
      </c>
      <c r="Z30" s="470" t="n">
        <f aca="false">IF(ISERROR(MATCH(A30,'liste reference'!$A$6:$A$1174,0)),IF(ISERROR(MATCH(A30,'liste reference'!$B$6:$B$1174,0)),"",(MATCH(A30,'liste reference'!$B$6:$B$1174,0))),(MATCH(A30,'liste reference'!$A$6:$A$1174,0)))</f>
        <v>473</v>
      </c>
    </row>
    <row r="31" customFormat="false" ht="12.75" hidden="false" customHeight="false" outlineLevel="0" collapsed="false">
      <c r="A31" s="489" t="s">
        <v>1796</v>
      </c>
      <c r="B31" s="490"/>
      <c r="C31" s="491" t="n">
        <v>0.7</v>
      </c>
      <c r="D31" s="492" t="str">
        <f aca="false">IF(ISERROR(VLOOKUP($A31,'liste reference'!$A$6:$B$1174,2,0)),IF(ISERROR(VLOOKUP($A31,'liste reference'!$B$6:$B$1174,1,0)),"",VLOOKUP($A31,'liste reference'!$B$6:$B$1174,1,0)),VLOOKUP($A31,'liste reference'!$A$6:$B$1174,2,0))</f>
        <v>Ranunculus penicillatus except. var. calcareus</v>
      </c>
      <c r="E31" s="493" t="e">
        <f aca="false">IF(D31="",0,VLOOKUP(D31,D$22:D30,1,0))</f>
        <v>#N/A</v>
      </c>
      <c r="F31" s="494" t="n">
        <f aca="false">IF(AND(OR(A31="",A31="!!!!!!"),B31="",C31=""),"",IF(OR(AND(B31="",C31=""),ISERROR(C31+B31)),"!!!",($B31*$B$7+$C31*$C$7)/100))</f>
        <v>0.665</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Ranunculus penicillatus except. var. calcareus</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1909</v>
      </c>
      <c r="R31" s="484" t="n">
        <f aca="false">IF(ISTEXT(H31),"",(B31*$B$7/100)+(C31*$C$7/100))</f>
        <v>0.665</v>
      </c>
      <c r="S31" s="485" t="n">
        <f aca="false">IF(OR(ISTEXT(H31),R31=0),"",IF(R31&lt;0.1,1,IF(R31&lt;1,2,IF(R31&lt;10,3,IF(R31&lt;50,4,IF(R31&gt;=50,5,""))))))</f>
        <v>2</v>
      </c>
      <c r="T31" s="485" t="n">
        <f aca="false">IF(ISERROR(S31*J31),0,S31*J31)</f>
        <v>24</v>
      </c>
      <c r="U31" s="485" t="n">
        <f aca="false">IF(ISERROR(S31*J31*K31),0,S31*J31*K31)</f>
        <v>24</v>
      </c>
      <c r="V31" s="501" t="n">
        <f aca="false">IF(ISERROR(S31*K31),0,S31*K31)</f>
        <v>2</v>
      </c>
      <c r="W31" s="502"/>
      <c r="X31" s="503"/>
      <c r="Y31" s="488" t="str">
        <f aca="false">IF(AND(ISNUMBER(F31),OR(A31="",A31="!!!!!!")),"!!!!!!",IF(A31="new.cod","NEWCOD",IF(AND((Z31=""),ISTEXT(A31),A31&lt;&gt;"!!!!!!"),A31,IF(Z31="","",INDEX('liste reference'!$A$6:$A$1174,Z31)))))</f>
        <v>RANPEU</v>
      </c>
      <c r="Z31" s="470" t="n">
        <f aca="false">IF(ISERROR(MATCH(A31,'liste reference'!$A$6:$A$1174,0)),IF(ISERROR(MATCH(A31,'liste reference'!$B$6:$B$1174,0)),"",(MATCH(A31,'liste reference'!$B$6:$B$1174,0))),(MATCH(A31,'liste reference'!$A$6:$A$1174,0)))</f>
        <v>571</v>
      </c>
    </row>
    <row r="32" customFormat="false" ht="12.75" hidden="false" customHeight="false" outlineLevel="0" collapsed="false">
      <c r="A32" s="489" t="s">
        <v>1853</v>
      </c>
      <c r="B32" s="490"/>
      <c r="C32" s="491" t="n">
        <v>10</v>
      </c>
      <c r="D32" s="492" t="str">
        <f aca="false">IF(ISERROR(VLOOKUP($A32,'liste reference'!$A$6:$B$1174,2,0)),IF(ISERROR(VLOOKUP($A32,'liste reference'!$B$6:$B$1174,1,0)),"",VLOOKUP($A32,'liste reference'!$B$6:$B$1174,1,0)),VLOOKUP($A32,'liste reference'!$A$6:$B$1174,2,0))</f>
        <v>Sparganium emersum except. fo. brevifolium</v>
      </c>
      <c r="E32" s="493" t="e">
        <f aca="false">IF(D32="",0,VLOOKUP(D32,D$22:D31,1,0))</f>
        <v>#N/A</v>
      </c>
      <c r="F32" s="494" t="n">
        <f aca="false">IF(AND(OR(A32="",A32="!!!!!!"),B32="",C32=""),"",IF(OR(AND(B32="",C32=""),ISERROR(C32+B32)),"!!!",($B32*$B$7+$C32*$C$7)/100))</f>
        <v>9.5</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7</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Sparganium emersum except. fo. brevifolium</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1670</v>
      </c>
      <c r="R32" s="484" t="n">
        <f aca="false">IF(ISTEXT(H32),"",(B32*$B$7/100)+(C32*$C$7/100))</f>
        <v>9.5</v>
      </c>
      <c r="S32" s="485" t="n">
        <f aca="false">IF(OR(ISTEXT(H32),R32=0),"",IF(R32&lt;0.1,1,IF(R32&lt;1,2,IF(R32&lt;10,3,IF(R32&lt;50,4,IF(R32&gt;=50,5,""))))))</f>
        <v>3</v>
      </c>
      <c r="T32" s="485" t="n">
        <f aca="false">IF(ISERROR(S32*J32),0,S32*J32)</f>
        <v>21</v>
      </c>
      <c r="U32" s="485" t="n">
        <f aca="false">IF(ISERROR(S32*J32*K32),0,S32*J32*K32)</f>
        <v>21</v>
      </c>
      <c r="V32" s="501" t="n">
        <f aca="false">IF(ISERROR(S32*K32),0,S32*K32)</f>
        <v>3</v>
      </c>
      <c r="W32" s="502"/>
      <c r="X32" s="503"/>
      <c r="Y32" s="488" t="str">
        <f aca="false">IF(AND(ISNUMBER(F32),OR(A32="",A32="!!!!!!")),"!!!!!!",IF(A32="new.cod","NEWCOD",IF(AND((Z32=""),ISTEXT(A32),A32&lt;&gt;"!!!!!!"),A32,IF(Z32="","",INDEX('liste reference'!$A$6:$A$1174,Z32)))))</f>
        <v>SPAEME</v>
      </c>
      <c r="Z32" s="470" t="n">
        <f aca="false">IF(ISERROR(MATCH(A32,'liste reference'!$A$6:$A$1174,0)),IF(ISERROR(MATCH(A32,'liste reference'!$B$6:$B$1174,0)),"",(MATCH(A32,'liste reference'!$B$6:$B$1174,0))),(MATCH(A32,'liste reference'!$A$6:$A$1174,0)))</f>
        <v>592</v>
      </c>
    </row>
    <row r="33" customFormat="false" ht="12.75" hidden="false" customHeight="false" outlineLevel="0" collapsed="false">
      <c r="A33" s="489" t="s">
        <v>1873</v>
      </c>
      <c r="B33" s="490" t="n">
        <v>0.25</v>
      </c>
      <c r="C33" s="491" t="n">
        <v>2.5</v>
      </c>
      <c r="D33" s="492" t="str">
        <f aca="false">IF(ISERROR(VLOOKUP($A33,'liste reference'!$A$6:$B$1174,2,0)),IF(ISERROR(VLOOKUP($A33,'liste reference'!$B$6:$B$1174,1,0)),"",VLOOKUP($A33,'liste reference'!$B$6:$B$1174,1,0)),VLOOKUP($A33,'liste reference'!$A$6:$B$1174,2,0))</f>
        <v>Sparganium sp.</v>
      </c>
      <c r="E33" s="493" t="e">
        <f aca="false">IF(D33="",0,VLOOKUP(D33,D$22:D32,1,0))</f>
        <v>#N/A</v>
      </c>
      <c r="F33" s="494" t="n">
        <f aca="false">IF(AND(OR(A33="",A33="!!!!!!"),B33="",C33=""),"",IF(OR(AND(B33="",C33=""),ISERROR(C33+B33)),"!!!",($B33*$B$7+$C33*$C$7)/100))</f>
        <v>2.3875</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Sparganium sp.</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1668</v>
      </c>
      <c r="R33" s="484" t="n">
        <f aca="false">IF(ISTEXT(H33),"",(B33*$B$7/100)+(C33*$C$7/100))</f>
        <v>2.3875</v>
      </c>
      <c r="S33" s="485" t="n">
        <f aca="false">IF(OR(ISTEXT(H33),R33=0),"",IF(R33&lt;0.1,1,IF(R33&lt;1,2,IF(R33&lt;10,3,IF(R33&lt;50,4,IF(R33&gt;=50,5,""))))))</f>
        <v>3</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SPASPX</v>
      </c>
      <c r="Z33" s="470" t="n">
        <f aca="false">IF(ISERROR(MATCH(A33,'liste reference'!$A$6:$A$1174,0)),IF(ISERROR(MATCH(A33,'liste reference'!$B$6:$B$1174,0)),"",(MATCH(A33,'liste reference'!$B$6:$B$1174,0))),(MATCH(A33,'liste reference'!$A$6:$A$1174,0)))</f>
        <v>599</v>
      </c>
    </row>
    <row r="34" customFormat="false" ht="12.75" hidden="false" customHeight="false" outlineLevel="0" collapsed="false">
      <c r="A34" s="489" t="s">
        <v>1975</v>
      </c>
      <c r="B34" s="490"/>
      <c r="C34" s="491" t="n">
        <v>0.005</v>
      </c>
      <c r="D34" s="492" t="str">
        <f aca="false">IF(ISERROR(VLOOKUP($A34,'liste reference'!$A$6:$B$1174,2,0)),IF(ISERROR(VLOOKUP($A34,'liste reference'!$B$6:$B$1174,1,0)),"",VLOOKUP($A34,'liste reference'!$B$6:$B$1174,1,0)),VLOOKUP($A34,'liste reference'!$A$6:$B$1174,2,0))</f>
        <v>Carex rostrata</v>
      </c>
      <c r="E34" s="493" t="e">
        <f aca="false">IF(D34="",0,VLOOKUP(D34,D$22:D33,1,0))</f>
        <v>#N/A</v>
      </c>
      <c r="F34" s="494" t="n">
        <f aca="false">IF(AND(OR(A34="",A34="!!!!!!"),B34="",C34=""),"",IF(OR(AND(B34="",C34=""),ISERROR(C34+B34)),"!!!",($B34*$B$7+$C34*$C$7)/100))</f>
        <v>0.00475</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Carex rostrata</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1490</v>
      </c>
      <c r="R34" s="484" t="n">
        <f aca="false">IF(ISTEXT(H34),"",(B34*$B$7/100)+(C34*$C$7/100))</f>
        <v>0.00475</v>
      </c>
      <c r="S34" s="485" t="n">
        <f aca="false">IF(OR(ISTEXT(H34),R34=0),"",IF(R34&lt;0.1,1,IF(R34&lt;1,2,IF(R34&lt;10,3,IF(R34&lt;50,4,IF(R34&gt;=50,5,""))))))</f>
        <v>1</v>
      </c>
      <c r="T34" s="485" t="n">
        <f aca="false">IF(ISERROR(S34*J34),0,S34*J34)</f>
        <v>15</v>
      </c>
      <c r="U34" s="485" t="n">
        <f aca="false">IF(ISERROR(S34*J34*K34),0,S34*J34*K34)</f>
        <v>45</v>
      </c>
      <c r="V34" s="501" t="n">
        <f aca="false">IF(ISERROR(S34*K34),0,S34*K34)</f>
        <v>3</v>
      </c>
      <c r="W34" s="502"/>
      <c r="X34" s="503"/>
      <c r="Y34" s="488" t="str">
        <f aca="false">IF(AND(ISNUMBER(F34),OR(A34="",A34="!!!!!!")),"!!!!!!",IF(A34="new.cod","NEWCOD",IF(AND((Z34=""),ISTEXT(A34),A34&lt;&gt;"!!!!!!"),A34,IF(Z34="","",INDEX('liste reference'!$A$6:$A$1174,Z34)))))</f>
        <v>CARROS</v>
      </c>
      <c r="Z34" s="470" t="n">
        <f aca="false">IF(ISERROR(MATCH(A34,'liste reference'!$A$6:$A$1174,0)),IF(ISERROR(MATCH(A34,'liste reference'!$B$6:$B$1174,0)),"",(MATCH(A34,'liste reference'!$B$6:$B$1174,0))),(MATCH(A34,'liste reference'!$A$6:$A$1174,0)))</f>
        <v>638</v>
      </c>
    </row>
    <row r="35" customFormat="false" ht="12.75" hidden="false" customHeight="false" outlineLevel="0" collapsed="false">
      <c r="A35" s="489" t="s">
        <v>2051</v>
      </c>
      <c r="B35" s="490"/>
      <c r="C35" s="491" t="n">
        <v>0.25</v>
      </c>
      <c r="D35" s="492" t="str">
        <f aca="false">IF(ISERROR(VLOOKUP($A35,'liste reference'!$A$6:$B$1174,2,0)),IF(ISERROR(VLOOKUP($A35,'liste reference'!$B$6:$B$1174,1,0)),"",VLOOKUP($A35,'liste reference'!$B$6:$B$1174,1,0)),VLOOKUP($A35,'liste reference'!$A$6:$B$1174,2,0))</f>
        <v>Eleocharis palustris</v>
      </c>
      <c r="E35" s="493" t="e">
        <f aca="false">IF(D35="",0,VLOOKUP(D35,D$22:D34,1,0))</f>
        <v>#N/A</v>
      </c>
      <c r="F35" s="494" t="n">
        <f aca="false">IF(AND(OR(A35="",A35="!!!!!!"),B35="",C35=""),"",IF(OR(AND(B35="",C35=""),ISERROR(C35+B35)),"!!!",($B35*$B$7+$C35*$C$7)/100))</f>
        <v>0.2375</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Eleocharis palustris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1506</v>
      </c>
      <c r="R35" s="484" t="n">
        <f aca="false">IF(ISTEXT(H35),"",(B35*$B$7/100)+(C35*$C$7/100))</f>
        <v>0.2375</v>
      </c>
      <c r="S35" s="485" t="n">
        <f aca="false">IF(OR(ISTEXT(H35),R35=0),"",IF(R35&lt;0.1,1,IF(R35&lt;1,2,IF(R35&lt;10,3,IF(R35&lt;50,4,IF(R35&gt;=50,5,""))))))</f>
        <v>2</v>
      </c>
      <c r="T35" s="485" t="n">
        <f aca="false">IF(ISERROR(S35*J35),0,S35*J35)</f>
        <v>24</v>
      </c>
      <c r="U35" s="485" t="n">
        <f aca="false">IF(ISERROR(S35*J35*K35),0,S35*J35*K35)</f>
        <v>48</v>
      </c>
      <c r="V35" s="501" t="n">
        <f aca="false">IF(ISERROR(S35*K35),0,S35*K35)</f>
        <v>4</v>
      </c>
      <c r="W35" s="502"/>
      <c r="X35" s="503"/>
      <c r="Y35" s="488" t="str">
        <f aca="false">IF(AND(ISNUMBER(F35),OR(A35="",A35="!!!!!!")),"!!!!!!",IF(A35="new.cod","NEWCOD",IF(AND((Z35=""),ISTEXT(A35),A35&lt;&gt;"!!!!!!"),A35,IF(Z35="","",INDEX('liste reference'!$A$6:$A$1174,Z35)))))</f>
        <v>ELEPAL</v>
      </c>
      <c r="Z35" s="470" t="n">
        <f aca="false">IF(ISERROR(MATCH(A35,'liste reference'!$A$6:$A$1174,0)),IF(ISERROR(MATCH(A35,'liste reference'!$B$6:$B$1174,0)),"",(MATCH(A35,'liste reference'!$B$6:$B$1174,0))),(MATCH(A35,'liste reference'!$A$6:$A$1174,0)))</f>
        <v>664</v>
      </c>
    </row>
    <row r="36" customFormat="false" ht="12.75" hidden="false" customHeight="false" outlineLevel="0" collapsed="false">
      <c r="A36" s="489" t="s">
        <v>2170</v>
      </c>
      <c r="B36" s="490" t="n">
        <v>0.005</v>
      </c>
      <c r="C36" s="491" t="n">
        <v>1.5</v>
      </c>
      <c r="D36" s="492" t="str">
        <f aca="false">IF(ISERROR(VLOOKUP($A36,'liste reference'!$A$6:$B$1174,2,0)),IF(ISERROR(VLOOKUP($A36,'liste reference'!$B$6:$B$1174,1,0)),"",VLOOKUP($A36,'liste reference'!$B$6:$B$1174,1,0)),VLOOKUP($A36,'liste reference'!$A$6:$B$1174,2,0))</f>
        <v>Phalaris arundinacea</v>
      </c>
      <c r="E36" s="493" t="e">
        <f aca="false">IF(D36="",0,VLOOKUP(D36,D$22:D35,1,0))</f>
        <v>#N/A</v>
      </c>
      <c r="F36" s="494" t="n">
        <f aca="false">IF(AND(OR(A36="",A36="!!!!!!"),B36="",C36=""),"",IF(OR(AND(B36="",C36=""),ISERROR(C36+B36)),"!!!",($B36*$B$7+$C36*$C$7)/100))</f>
        <v>1.42525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Phalaris arundinacea</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1577</v>
      </c>
      <c r="R36" s="484" t="n">
        <f aca="false">IF(ISTEXT(H36),"",(B36*$B$7/100)+(C36*$C$7/100))</f>
        <v>1.42525</v>
      </c>
      <c r="S36" s="485" t="n">
        <f aca="false">IF(OR(ISTEXT(H36),R36=0),"",IF(R36&lt;0.1,1,IF(R36&lt;1,2,IF(R36&lt;10,3,IF(R36&lt;50,4,IF(R36&gt;=50,5,""))))))</f>
        <v>3</v>
      </c>
      <c r="T36" s="485" t="n">
        <f aca="false">IF(ISERROR(S36*J36),0,S36*J36)</f>
        <v>30</v>
      </c>
      <c r="U36" s="485" t="n">
        <f aca="false">IF(ISERROR(S36*J36*K36),0,S36*J36*K36)</f>
        <v>30</v>
      </c>
      <c r="V36" s="501" t="n">
        <f aca="false">IF(ISERROR(S36*K36),0,S36*K36)</f>
        <v>3</v>
      </c>
      <c r="W36" s="502"/>
      <c r="X36" s="503"/>
      <c r="Y36" s="488" t="str">
        <f aca="false">IF(AND(ISNUMBER(F36),OR(A36="",A36="!!!!!!")),"!!!!!!",IF(A36="new.cod","NEWCOD",IF(AND((Z36=""),ISTEXT(A36),A36&lt;&gt;"!!!!!!"),A36,IF(Z36="","",INDEX('liste reference'!$A$6:$A$1174,Z36)))))</f>
        <v>PHAARU</v>
      </c>
      <c r="Z36" s="470" t="n">
        <f aca="false">IF(ISERROR(MATCH(A36,'liste reference'!$A$6:$A$1174,0)),IF(ISERROR(MATCH(A36,'liste reference'!$B$6:$B$1174,0)),"",(MATCH(A36,'liste reference'!$B$6:$B$1174,0))),(MATCH(A36,'liste reference'!$A$6:$A$1174,0)))</f>
        <v>707</v>
      </c>
    </row>
    <row r="37" customFormat="false" ht="12.75" hidden="false" customHeight="false" outlineLevel="0" collapsed="false">
      <c r="A37" s="489" t="s">
        <v>2260</v>
      </c>
      <c r="B37" s="490"/>
      <c r="C37" s="491" t="n">
        <v>0.5</v>
      </c>
      <c r="D37" s="492" t="str">
        <f aca="false">IF(ISERROR(VLOOKUP($A37,'liste reference'!$A$6:$B$1174,2,0)),IF(ISERROR(VLOOKUP($A37,'liste reference'!$B$6:$B$1174,1,0)),"",VLOOKUP($A37,'liste reference'!$B$6:$B$1174,1,0)),VLOOKUP($A37,'liste reference'!$A$6:$B$1174,2,0))</f>
        <v>Veronica anagallis-aquatica</v>
      </c>
      <c r="E37" s="493" t="e">
        <f aca="false">IF(D37="",0,VLOOKUP(D37,D$22:D36,1,0))</f>
        <v>#N/A</v>
      </c>
      <c r="F37" s="494" t="n">
        <f aca="false">IF(AND(OR(A37="",A37="!!!!!!"),B37="",C37=""),"",IF(OR(AND(B37="",C37=""),ISERROR(C37+B37)),"!!!",($B37*$B$7+$C37*$C$7)/100))</f>
        <v>0.475</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Veronica anagallis-aquatica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1955</v>
      </c>
      <c r="R37" s="484" t="n">
        <f aca="false">IF(ISTEXT(H37),"",(B37*$B$7/100)+(C37*$C$7/100))</f>
        <v>0.475</v>
      </c>
      <c r="S37" s="485" t="n">
        <f aca="false">IF(OR(ISTEXT(H37),R37=0),"",IF(R37&lt;0.1,1,IF(R37&lt;1,2,IF(R37&lt;10,3,IF(R37&lt;50,4,IF(R37&gt;=50,5,""))))))</f>
        <v>2</v>
      </c>
      <c r="T37" s="485" t="n">
        <f aca="false">IF(ISERROR(S37*J37),0,S37*J37)</f>
        <v>22</v>
      </c>
      <c r="U37" s="485" t="n">
        <f aca="false">IF(ISERROR(S37*J37*K37),0,S37*J37*K37)</f>
        <v>44</v>
      </c>
      <c r="V37" s="501" t="n">
        <f aca="false">IF(ISERROR(S37*K37),0,S37*K37)</f>
        <v>4</v>
      </c>
      <c r="W37" s="502"/>
      <c r="X37" s="503"/>
      <c r="Y37" s="488" t="str">
        <f aca="false">IF(AND(ISNUMBER(F37),OR(A37="",A37="!!!!!!")),"!!!!!!",IF(A37="new.cod","NEWCOD",IF(AND((Z37=""),ISTEXT(A37),A37&lt;&gt;"!!!!!!"),A37,IF(Z37="","",INDEX('liste reference'!$A$6:$A$1174,Z37)))))</f>
        <v>VERANA</v>
      </c>
      <c r="Z37" s="470" t="n">
        <f aca="false">IF(ISERROR(MATCH(A37,'liste reference'!$A$6:$A$1174,0)),IF(ISERROR(MATCH(A37,'liste reference'!$B$6:$B$1174,0)),"",(MATCH(A37,'liste reference'!$B$6:$B$1174,0))),(MATCH(A37,'liste reference'!$A$6:$A$1174,0)))</f>
        <v>740</v>
      </c>
    </row>
    <row r="38" customFormat="false" ht="12.75" hidden="false" customHeight="false" outlineLevel="0" collapsed="false">
      <c r="A38" s="489" t="s">
        <v>2611</v>
      </c>
      <c r="B38" s="490"/>
      <c r="C38" s="491" t="n">
        <v>0.01</v>
      </c>
      <c r="D38" s="492" t="str">
        <f aca="false">IF(ISERROR(VLOOKUP($A38,'liste reference'!$A$6:$B$1174,2,0)),IF(ISERROR(VLOOKUP($A38,'liste reference'!$B$6:$B$1174,1,0)),"",VLOOKUP($A38,'liste reference'!$B$6:$B$1174,1,0)),VLOOKUP($A38,'liste reference'!$A$6:$B$1174,2,0))</f>
        <v>Juncus articulatus</v>
      </c>
      <c r="E38" s="493" t="e">
        <f aca="false">IF(D38="",0,VLOOKUP(D38,D$22:D37,1,0))</f>
        <v>#N/A</v>
      </c>
      <c r="F38" s="494" t="n">
        <f aca="false">IF(AND(OR(A38="",A38="!!!!!!"),B38="",C38=""),"",IF(OR(AND(B38="",C38=""),ISERROR(C38+B38)),"!!!",($B38*$B$7+$C38*$C$7)/100))</f>
        <v>0.0095</v>
      </c>
      <c r="G38" s="495" t="str">
        <f aca="false">IF(A38="","",IF(ISERROR(VLOOKUP($A38,'liste reference'!$A$6:$Q$1174,9,0)),IF(ISERROR(VLOOKUP($A38,'liste reference'!$B$6:$Q$1174,8,0)),"    -",VLOOKUP($A38,'liste reference'!$B$6:$Q$1174,8,0)),VLOOKUP($A38,'liste reference'!$A$6:$Q$1174,9,0)))</f>
        <v>PHg</v>
      </c>
      <c r="H38" s="496" t="n">
        <f aca="false">IF(A38="","x",IF(ISERROR(VLOOKUP($A38,'liste reference'!$A$6:$Q$1174,10,0)),IF(ISERROR(VLOOKUP($A38,'liste reference'!$B$6:$Q$1174,9,0)),"x",VLOOKUP($A38,'liste reference'!$B$6:$Q$1174,9,0)),VLOOKUP($A38,'liste reference'!$A$6:$Q$1174,10,0)))</f>
        <v>9</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Juncus articulatus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1609</v>
      </c>
      <c r="R38" s="484" t="n">
        <f aca="false">IF(ISTEXT(H38),"",(B38*$B$7/100)+(C38*$C$7/100))</f>
        <v>0.0095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JUNART</v>
      </c>
      <c r="Z38" s="470" t="n">
        <f aca="false">IF(ISERROR(MATCH(A38,'liste reference'!$A$6:$A$1174,0)),IF(ISERROR(MATCH(A38,'liste reference'!$B$6:$B$1174,0)),"",(MATCH(A38,'liste reference'!$B$6:$B$1174,0))),(MATCH(A38,'liste reference'!$A$6:$A$1174,0)))</f>
        <v>873</v>
      </c>
    </row>
    <row r="39" customFormat="false" ht="12.75" hidden="false" customHeight="false" outlineLevel="0" collapsed="false">
      <c r="A39" s="489" t="s">
        <v>2618</v>
      </c>
      <c r="B39" s="490"/>
      <c r="C39" s="491" t="n">
        <v>0.4</v>
      </c>
      <c r="D39" s="492" t="str">
        <f aca="false">IF(ISERROR(VLOOKUP($A39,'liste reference'!$A$6:$B$1174,2,0)),IF(ISERROR(VLOOKUP($A39,'liste reference'!$B$6:$B$1174,1,0)),"",VLOOKUP($A39,'liste reference'!$B$6:$B$1174,1,0)),VLOOKUP($A39,'liste reference'!$A$6:$B$1174,2,0))</f>
        <v>Juncus effusus</v>
      </c>
      <c r="E39" s="493" t="e">
        <f aca="false">IF(D39="",0,VLOOKUP(D39,D$22:D38,1,0))</f>
        <v>#N/A</v>
      </c>
      <c r="F39" s="494" t="n">
        <f aca="false">IF(AND(OR(A39="",A39="!!!!!!"),B39="",C39=""),"",IF(OR(AND(B39="",C39=""),ISERROR(C39+B39)),"!!!",($B39*$B$7+$C39*$C$7)/100))</f>
        <v>0.38</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Juncus effusus</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1613</v>
      </c>
      <c r="R39" s="484" t="n">
        <f aca="false">IF(ISTEXT(H39),"",(B39*$B$7/100)+(C39*$C$7/100))</f>
        <v>0.38</v>
      </c>
      <c r="S39" s="485" t="n">
        <f aca="false">IF(OR(ISTEXT(H39),R39=0),"",IF(R39&lt;0.1,1,IF(R39&lt;1,2,IF(R39&lt;10,3,IF(R39&lt;50,4,IF(R39&gt;=50,5,""))))))</f>
        <v>2</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JUNEFF</v>
      </c>
      <c r="Z39" s="470" t="n">
        <f aca="false">IF(ISERROR(MATCH(A39,'liste reference'!$A$6:$A$1174,0)),IF(ISERROR(MATCH(A39,'liste reference'!$B$6:$B$1174,0)),"",(MATCH(A39,'liste reference'!$B$6:$B$1174,0))),(MATCH(A39,'liste reference'!$A$6:$A$1174,0)))</f>
        <v>876</v>
      </c>
    </row>
    <row r="40" customFormat="false" ht="12.75" hidden="false" customHeight="false" outlineLevel="0" collapsed="false">
      <c r="A40" s="489" t="s">
        <v>2888</v>
      </c>
      <c r="B40" s="490"/>
      <c r="C40" s="491" t="n">
        <v>0.5</v>
      </c>
      <c r="D40" s="492" t="str">
        <f aca="false">IF(ISERROR(VLOOKUP($A40,'liste reference'!$A$6:$B$1174,2,0)),IF(ISERROR(VLOOKUP($A40,'liste reference'!$B$6:$B$1174,1,0)),"",VLOOKUP($A40,'liste reference'!$B$6:$B$1174,1,0)),VLOOKUP($A40,'liste reference'!$A$6:$B$1174,2,0))</f>
        <v>Solanum dulcamara</v>
      </c>
      <c r="E40" s="493" t="e">
        <f aca="false">IF(D40="",0,VLOOKUP(D40,D$22:D39,1,0))</f>
        <v>#N/A</v>
      </c>
      <c r="F40" s="494" t="n">
        <f aca="false">IF(AND(OR(A40="",A40="!!!!!!"),B40="",C40=""),"",IF(OR(AND(B40="",C40=""),ISERROR(C40+B40)),"!!!",($B40*$B$7+$C40*$C$7)/100))</f>
        <v>0.475</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Solanum dulcamara</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1964</v>
      </c>
      <c r="R40" s="484" t="n">
        <f aca="false">IF(ISTEXT(H40),"",(B40*$B$7/100)+(C40*$C$7/100))</f>
        <v>0.475</v>
      </c>
      <c r="S40" s="485" t="n">
        <f aca="false">IF(OR(ISTEXT(H40),R40=0),"",IF(R40&lt;0.1,1,IF(R40&lt;1,2,IF(R40&lt;10,3,IF(R40&lt;50,4,IF(R40&gt;=50,5,""))))))</f>
        <v>2</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SOADUL</v>
      </c>
      <c r="Z40" s="470" t="n">
        <f aca="false">IF(ISERROR(MATCH(A40,'liste reference'!$A$6:$A$1174,0)),IF(ISERROR(MATCH(A40,'liste reference'!$B$6:$B$1174,0)),"",(MATCH(A40,'liste reference'!$B$6:$B$1174,0))),(MATCH(A40,'liste reference'!$A$6:$A$1174,0)))</f>
        <v>969</v>
      </c>
    </row>
    <row r="41" customFormat="false" ht="12.75" hidden="false" customHeight="false" outlineLevel="0" collapsed="false">
      <c r="A41" s="489" t="s">
        <v>3252</v>
      </c>
      <c r="B41" s="490"/>
      <c r="C41" s="491" t="n">
        <v>0.005</v>
      </c>
      <c r="D41" s="492" t="str">
        <f aca="false">IF(ISERROR(VLOOKUP($A41,'liste reference'!$A$6:$B$1174,2,0)),IF(ISERROR(VLOOKUP($A41,'liste reference'!$B$6:$B$1174,1,0)),"",VLOOKUP($A41,'liste reference'!$B$6:$B$1174,1,0)),VLOOKUP($A41,'liste reference'!$A$6:$B$1174,2,0))</f>
        <v>Ranunculus repens</v>
      </c>
      <c r="E41" s="493" t="e">
        <f aca="false">IF(D41="",0,VLOOKUP(D41,D$22:D40,1,0))</f>
        <v>#N/A</v>
      </c>
      <c r="F41" s="494" t="n">
        <f aca="false">IF(AND(OR(A41="",A41="!!!!!!"),B41="",C41=""),"",IF(OR(AND(B41="",C41=""),ISERROR(C41+B41)),"!!!",($B41*$B$7+$C41*$C$7)/100))</f>
        <v>0.00475</v>
      </c>
      <c r="G41" s="495" t="str">
        <f aca="false">IF(A41="","",IF(ISERROR(VLOOKUP($A41,'liste reference'!$A$6:$Q$1174,9,0)),IF(ISERROR(VLOOKUP($A41,'liste reference'!$B$6:$Q$1174,8,0)),"    -",VLOOKUP($A41,'liste reference'!$B$6:$Q$1174,8,0)),VLOOKUP($A41,'liste reference'!$A$6:$Q$1174,9,0)))</f>
        <v>PHx</v>
      </c>
      <c r="H41" s="496" t="n">
        <f aca="false">IF(A41="","x",IF(ISERROR(VLOOKUP($A41,'liste reference'!$A$6:$Q$1174,10,0)),IF(ISERROR(VLOOKUP($A41,'liste reference'!$B$6:$Q$1174,9,0)),"x",VLOOKUP($A41,'liste reference'!$B$6:$Q$1174,9,0)),VLOOKUP($A41,'liste reference'!$A$6:$Q$1174,10,0)))</f>
        <v>10</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Ranunculus repens</v>
      </c>
      <c r="M41" s="498"/>
      <c r="N41" s="498"/>
      <c r="O41" s="498"/>
      <c r="P41" s="499" t="s">
        <v>3450</v>
      </c>
      <c r="Q41" s="500" t="n">
        <f aca="false">IF(OR($A41="NEWCOD",$A41="!!!!!!"),IF(X41="","NoCod",X41),IF($A41="","",IF(ISERROR(VLOOKUP($A41,'liste reference'!$A$6:$H$1174,8,0)),IF(ISERROR(VLOOKUP($A41,'liste reference'!$B$6:$H$1174,7,0)),"",VLOOKUP($A41,'liste reference'!$B$6:$H$1174,7,0)),VLOOKUP($A41,'liste reference'!$A$6:$H$1174,8,0))))</f>
        <v>1910</v>
      </c>
      <c r="R41" s="484" t="n">
        <f aca="false">IF(ISTEXT(H41),"",(B41*$B$7/100)+(C41*$C$7/100))</f>
        <v>0.00475</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RANREP</v>
      </c>
      <c r="Z41" s="470" t="n">
        <f aca="false">IF(ISERROR(MATCH(A41,'liste reference'!$A$6:$A$1174,0)),IF(ISERROR(MATCH(A41,'liste reference'!$B$6:$B$1174,0)),"",(MATCH(A41,'liste reference'!$B$6:$B$1174,0))),(MATCH(A41,'liste reference'!$A$6:$A$1174,0)))</f>
        <v>1128</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23.30625</v>
      </c>
      <c r="G83" s="424"/>
      <c r="H83" s="424"/>
      <c r="I83" s="424"/>
      <c r="J83" s="424"/>
      <c r="K83" s="424"/>
      <c r="L83" s="424"/>
      <c r="M83" s="485"/>
      <c r="N83" s="485"/>
      <c r="O83" s="485"/>
      <c r="P83" s="485"/>
      <c r="Q83" s="485"/>
      <c r="R83" s="485"/>
      <c r="S83" s="485"/>
      <c r="T83" s="485"/>
      <c r="U83" s="485"/>
      <c r="V83" s="485" t="n">
        <f aca="false">SUM(V23:V82)</f>
        <v>34</v>
      </c>
      <c r="W83" s="485"/>
      <c r="X83" s="523"/>
      <c r="Y83" s="523"/>
      <c r="Z83" s="524"/>
    </row>
    <row r="84" customFormat="false" ht="12.75" hidden="true" customHeight="false" outlineLevel="0" collapsed="false">
      <c r="A84" s="518" t="str">
        <f aca="false">A3</f>
        <v>LE CHAPOUILLET</v>
      </c>
      <c r="B84" s="453" t="str">
        <f aca="false">C3</f>
        <v>LE CHAPOUILLET A ST-CHELY D'APCHER</v>
      </c>
      <c r="C84" s="525" t="str">
        <f aca="false">A4</f>
        <v>(Date)</v>
      </c>
      <c r="D84" s="526" t="n">
        <f aca="false">IF(OR(ISERROR(SUM($U$23:$U$82)/SUM($V$23:$V$82)),F7&lt;&gt;100),-1,SUM($U$23:$U$82)/SUM($V$23:$V$82))</f>
        <v>10.6470588235294</v>
      </c>
      <c r="E84" s="527" t="n">
        <f aca="false">O13</f>
        <v>19</v>
      </c>
      <c r="F84" s="453" t="n">
        <f aca="false">O14</f>
        <v>14</v>
      </c>
      <c r="G84" s="453" t="n">
        <f aca="false">O15</f>
        <v>8</v>
      </c>
      <c r="H84" s="453" t="n">
        <f aca="false">O16</f>
        <v>5</v>
      </c>
      <c r="I84" s="453" t="n">
        <f aca="false">O17</f>
        <v>1</v>
      </c>
      <c r="J84" s="528" t="n">
        <f aca="false">O8</f>
        <v>10.2857142857143</v>
      </c>
      <c r="K84" s="529" t="n">
        <f aca="false">O9</f>
        <v>2.91372543633873</v>
      </c>
      <c r="L84" s="530" t="n">
        <f aca="false">O10</f>
        <v>4</v>
      </c>
      <c r="M84" s="530" t="n">
        <f aca="false">O11</f>
        <v>15</v>
      </c>
      <c r="N84" s="529" t="n">
        <f aca="false">P8</f>
        <v>1.5</v>
      </c>
      <c r="O84" s="529" t="n">
        <f aca="false">P9</f>
        <v>0.626783170528009</v>
      </c>
      <c r="P84" s="530" t="n">
        <f aca="false">P10</f>
        <v>1</v>
      </c>
      <c r="Q84" s="530" t="n">
        <f aca="false">P11</f>
        <v>3</v>
      </c>
      <c r="R84" s="530" t="n">
        <f aca="false">F21</f>
        <v>23.30625</v>
      </c>
      <c r="S84" s="530" t="n">
        <f aca="false">L11</f>
        <v>0</v>
      </c>
      <c r="T84" s="530" t="n">
        <f aca="false">L12</f>
        <v>1</v>
      </c>
      <c r="U84" s="530" t="n">
        <f aca="false">L13</f>
        <v>4</v>
      </c>
      <c r="V84" s="531" t="n">
        <f aca="false">L15</f>
        <v>13</v>
      </c>
      <c r="W84" s="532" t="n">
        <f aca="false">L15</f>
        <v>13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24</v>
      </c>
      <c r="U87" s="281"/>
      <c r="V87" s="281"/>
    </row>
    <row r="88" customFormat="false" ht="12.75" hidden="true" customHeight="false" outlineLevel="0" collapsed="false">
      <c r="C88" s="534"/>
      <c r="D88" s="534"/>
      <c r="E88" s="534"/>
      <c r="R88" s="281" t="s">
        <v>3453</v>
      </c>
      <c r="S88" s="281"/>
      <c r="T88" s="536" t="n">
        <f aca="false">VLOOKUP($T$91,($A$23:$U$82),21,0)</f>
        <v>48</v>
      </c>
      <c r="U88" s="281"/>
      <c r="V88" s="281" t="n">
        <f aca="false">COUNTIF(V23:V82,T89)</f>
        <v>2</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10.4666666666667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ELEPAL</v>
      </c>
      <c r="U91" s="281" t="n">
        <f aca="false">IF(ISERROR(MATCH($T$93,'liste reference'!$A$6:$A$1174,0)),MATCH($T$93,'liste reference'!$B$6:$B$1174,0),(MATCH($T$93,'liste reference'!$A$6:$A$1174,0)))</f>
        <v>664</v>
      </c>
      <c r="V91" s="538"/>
    </row>
    <row r="92" customFormat="false" ht="12.75" hidden="true" customHeight="false" outlineLevel="0" collapsed="false">
      <c r="C92" s="534"/>
      <c r="D92" s="534"/>
      <c r="E92" s="534"/>
      <c r="R92" s="281" t="s">
        <v>3457</v>
      </c>
      <c r="S92" s="281"/>
      <c r="T92" s="281" t="n">
        <f aca="false">MATCH(T89,$V$23:$V$82,0)</f>
        <v>13</v>
      </c>
      <c r="U92" s="281"/>
    </row>
    <row r="93" customFormat="false" ht="12.75" hidden="true" customHeight="false" outlineLevel="0" collapsed="false">
      <c r="C93" s="534"/>
      <c r="D93" s="534"/>
      <c r="E93" s="534"/>
      <c r="R93" s="485" t="s">
        <v>3458</v>
      </c>
      <c r="S93" s="281"/>
      <c r="T93" s="485" t="str">
        <f aca="false">INDEX($A$23:$A$82,$T$92)</f>
        <v>ELEPAL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2017-02-17T15:33:56Z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