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2" activeTab="2"/>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<sst xmlns="http://schemas.openxmlformats.org/spreadsheetml/2006/main" count="7339" uniqueCount="2727">
  <si>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</si>
  <si>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</si>
  <si>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</si>
  <si>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</si>
  <si>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</si>
  <si>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</si>
  <si>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</si>
  <si>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</si>
  <si>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</si>
  <si>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</si>
  <si>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</si>
  <si>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</si>
  <si>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</si>
  <si>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</si>
  <si>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</si>
  <si>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</si>
  <si>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</si>
  <si>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</si>
  <si>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</si>
  <si>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</si>
  <si>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</si>
  <si>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</si>
  <si>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</si>
  <si>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</si>
  <si>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</si>
  <si>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</si>
  <si>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</si>
  <si>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</si>
  <si>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</si>
  <si>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</si>
  <si>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</si>
  <si>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</si>
  <si>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</si>
  <si>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</si>
  <si>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</si>
  <si>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</si>
  <si>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</si>
  <si>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</si>
  <si>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</si>
  <si>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</si>
  <si>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</si>
  <si>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</si>
  <si>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</si>
  <si>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</si>
  <si>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</si>
  <si>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</si>
  <si>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</si>
  <si>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</si>
  <si>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</si>
  <si>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</si>
  <si>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</si>
  <si>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</si>
  <si>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</si>
  <si>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</si>
  <si>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</si>
  <si>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</si>
  <si>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</si>
  <si>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</si>
  <si>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</si>
  <si>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</si>
  <si>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</si>
  <si>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</si>
  <si>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</si>
  <si>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</si>
  <si>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</si>
  <si>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</si>
  <si>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</si>
  <si>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</si>
  <si>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</si>
  <si>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</si>
  <si>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</si>
  <si>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</si>
  <si>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</si>
  <si>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</si>
  <si>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</si>
  <si>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</si>
  <si>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</si>
  <si>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</si>
  <si>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</si>
  <si>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</si>
  <si>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</si>
  <si>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</si>
  <si>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</si>
  <si>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</si>
  <si>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</si>
  <si>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</si>
  <si>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</si>
  <si>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</si>
  <si>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</si>
  <si>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</si>
  <si>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</si>
  <si>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</si>
  <si>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</si>
  <si>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</si>
  <si>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</si>
  <si>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</si>
  <si>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</si>
  <si>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</si>
  <si>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</si>
  <si>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</si>
  <si>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</si>
  <si>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</si>
  <si>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</si>
  <si>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</si>
  <si>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</si>
  <si>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</si>
  <si>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</si>
  <si>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</si>
  <si>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</si>
  <si>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</si>
  <si>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</si>
  <si>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</si>
  <si>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</si>
  <si>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</si>
  <si>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</si>
  <si>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</si>
  <si>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</si>
  <si>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</si>
  <si>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</si>
  <si>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</si>
  <si>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</si>
  <si>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</si>
  <si>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</si>
  <si>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</si>
  <si>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</si>
  <si>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</si>
  <si>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</si>
  <si>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</si>
  <si>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</si>
  <si>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</si>
  <si>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</si>
  <si>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</si>
  <si>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</si>
  <si>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</si>
  <si>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</si>
  <si>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</si>
  <si>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</si>
  <si>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</si>
  <si>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</si>
  <si>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</si>
  <si>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</si>
  <si>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</si>
  <si>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</si>
  <si>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</si>
  <si>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</si>
  <si>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</si>
  <si>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</si>
  <si>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</si>
  <si>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</si>
  <si>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</si>
  <si>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</si>
  <si>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</si>
  <si>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</si>
  <si>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</si>
  <si>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</si>
  <si>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</si>
  <si>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</si>
  <si>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</si>
  <si>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</si>
  <si>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</si>
  <si>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</si>
  <si>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</si>
  <si>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</si>
  <si>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</si>
  <si>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</si>
  <si>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</si>
  <si>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</si>
  <si>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</si>
  <si>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</si>
  <si>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</si>
  <si>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</si>
  <si>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</si>
  <si>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</si>
  <si>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</si>
  <si>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</si>
  <si>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</si>
  <si>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</si>
  <si>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</si>
  <si>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</si>
  <si>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</si>
  <si>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</si>
  <si>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</si>
  <si>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</si>
  <si>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</si>
  <si>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</si>
  <si>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</si>
  <si>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</si>
  <si>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</si>
  <si>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</si>
  <si>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</si>
  <si>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</si>
  <si>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</si>
  <si>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</si>
  <si>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</si>
  <si>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</si>
  <si>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</si>
  <si>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</si>
  <si>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</si>
  <si>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</si>
  <si>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</si>
  <si>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</si>
  <si>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</si>
  <si>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</si>
  <si>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</si>
  <si>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</si>
  <si>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</si>
  <si>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</si>
  <si>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</si>
  <si>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</si>
  <si>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</si>
  <si>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</si>
  <si>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</si>
  <si>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</si>
  <si>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</si>
  <si>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</si>
  <si>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</si>
  <si>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</si>
  <si>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</si>
  <si>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</si>
  <si>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</si>
  <si>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</si>
  <si>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</si>
  <si>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</si>
  <si>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</si>
  <si>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</si>
  <si>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</si>
  <si>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</si>
  <si>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</si>
  <si>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</si>
  <si>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</si>
  <si>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</si>
  <si>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</si>
  <si>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</si>
  <si>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</si>
  <si>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</si>
  <si>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</si>
  <si>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</si>
  <si>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</si>
  <si>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</si>
  <si>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</si>
  <si>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</si>
  <si>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</si>
  <si>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</si>
  <si>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</si>
  <si>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</si>
  <si>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</si>
  <si>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</si>
  <si>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</si>
  <si>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</si>
  <si>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</si>
  <si>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</si>
  <si>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</si>
  <si>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</si>
  <si>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</si>
  <si>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</si>
  <si>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</si>
  <si>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</si>
  <si>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</si>
  <si>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</si>
  <si>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</si>
  <si>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</si>
  <si>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</si>
  <si>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</si>
  <si>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</si>
  <si>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</si>
  <si>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</si>
  <si>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</si>
  <si>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</si>
  <si>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</si>
  <si>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</si>
  <si>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</si>
  <si>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</si>
  <si>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</si>
  <si>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</si>
  <si>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</si>
  <si>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</si>
  <si>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</si>
  <si>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</si>
  <si>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</si>
  <si>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</si>
  <si>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</si>
  <si>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</si>
  <si>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</si>
  <si>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</si>
  <si>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</si>
  <si>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</si>
  <si>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</si>
  <si>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</si>
  <si>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</si>
  <si>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</si>
  <si>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</si>
  <si>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</si>
  <si>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</si>
  <si>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</si>
  <si>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</si>
  <si>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</si>
  <si>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</si>
  <si>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</si>
  <si>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</si>
  <si>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</si>
  <si>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</si>
  <si>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</si>
  <si>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</si>
  <si>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</si>
  <si>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</si>
  <si>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</si>
  <si>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</si>
  <si>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</si>
  <si>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</si>
  <si>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</si>
  <si>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</si>
  <si>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</si>
  <si>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</si>
  <si>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</si>
  <si>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</si>
  <si>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</si>
  <si>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</si>
  <si>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</si>
  <si>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</si>
  <si>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</si>
  <si>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</si>
  <si>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</si>
  <si>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</si>
  <si>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</si>
  <si>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</si>
  <si>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</si>
  <si>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</si>
  <si>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</si>
  <si>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</si>
  <si>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</si>
  <si>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</si>
  <si>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</si>
  <si>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</si>
  <si>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</si>
  <si>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</si>
  <si>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</si>
  <si>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</si>
  <si>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</si>
  <si>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</si>
  <si>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</si>
  <si>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</si>
  <si>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</si>
  <si>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</si>
  <si>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</si>
  <si>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</si>
  <si>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</si>
  <si>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</si>
  <si>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</si>
  <si>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</si>
  <si>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</si>
  <si>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</si>
  <si>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</si>
  <si>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</si>
  <si>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</si>
  <si>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</si>
  <si>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</si>
  <si>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</si>
  <si>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</si>
  <si>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</si>
  <si>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</si>
  <si>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</si>
  <si>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</si>
  <si>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</si>
  <si>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</si>
  <si>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</si>
  <si>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</si>
  <si>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</si>
  <si>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</si>
  <si>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</si>
  <si>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</si>
  <si>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</si>
  <si>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</si>
  <si>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</si>
  <si>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</si>
  <si>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</si>
  <si>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</si>
  <si>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</si>
  <si>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</si>
  <si>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</si>
  <si>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</si>
  <si>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</si>
  <si>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</si>
  <si>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</si>
  <si>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</si>
  <si>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</si>
  <si>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</si>
  <si>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</si>
  <si>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</si>
  <si>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</si>
  <si>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</si>
  <si>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</si>
  <si>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</si>
  <si>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</si>
  <si>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</si>
  <si>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</si>
  <si>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</si>
  <si>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</si>
  <si>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</si>
  <si>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</si>
  <si>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</si>
  <si>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</si>
  <si>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</si>
  <si>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</si>
  <si>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</si>
  <si>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</si>
  <si>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</si>
  <si>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</si>
  <si>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</si>
  <si>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</si>
  <si>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</si>
  <si>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</si>
  <si>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</si>
  <si>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</si>
  <si>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</si>
  <si>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</si>
  <si>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</si>
  <si>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</si>
  <si>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</si>
  <si>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</si>
  <si>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</si>
  <si>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</si>
  <si>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</si>
  <si>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</si>
  <si>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</si>
  <si>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</si>
  <si>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</si>
  <si>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</si>
  <si>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</si>
  <si>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</si>
  <si>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</si>
  <si>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</si>
  <si>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</si>
  <si>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</si>
  <si>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</si>
  <si>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</si>
  <si>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</si>
  <si>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</si>
  <si>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</si>
  <si>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</si>
  <si>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</si>
  <si>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</si>
  <si>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</si>
  <si>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</si>
  <si>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</si>
  <si>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</si>
  <si>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</si>
  <si>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</si>
  <si>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</si>
  <si>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</si>
  <si>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</si>
  <si>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</si>
  <si>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</si>
  <si>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</si>
  <si>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</si>
  <si>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</si>
  <si>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</si>
  <si>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</si>
  <si>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</si>
  <si>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</si>
  <si>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</si>
  <si>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</si>
  <si>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</si>
  <si>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</si>
  <si>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</si>
  <si>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</si>
  <si>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</si>
  <si>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</si>
  <si>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</si>
  <si>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</si>
  <si>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</si>
  <si>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</si>
  <si>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</si>
  <si>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</si>
  <si>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</si>
  <si>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</si>
  <si>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</si>
  <si>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</si>
  <si>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</si>
  <si>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</si>
  <si>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</si>
  <si>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</si>
  <si>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</si>
  <si>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</si>
  <si>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</si>
  <si>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</si>
  <si>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</si>
  <si>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</si>
  <si>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</si>
  <si>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</si>
  <si>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</si>
  <si>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</si>
  <si>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</si>
  <si>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</si>
  <si>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</si>
  <si>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</si>
  <si>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</si>
  <si>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</si>
  <si>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</si>
  <si>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</si>
  <si>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</si>
  <si>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</si>
  <si>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</si>
  <si>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</si>
  <si>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</si>
  <si>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</si>
  <si>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</si>
  <si>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</si>
  <si>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</si>
  <si>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</si>
  <si>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</si>
  <si>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</si>
  <si>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</si>
  <si>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</si>
  <si>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</si>
  <si>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</si>
  <si>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</si>
  <si>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</si>
  <si>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</si>
  <si>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</si>
  <si>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</si>
  <si>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</si>
  <si>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</si>
  <si>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</si>
  <si>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</si>
  <si>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</si>
  <si>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</si>
  <si>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</si>
  <si>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</si>
  <si>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</si>
  <si>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</si>
  <si>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</si>
  <si>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</si>
  <si>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</si>
  <si>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</si>
  <si>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</si>
  <si>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</si>
  <si>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</si>
  <si>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</si>
  <si>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</si>
  <si>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</si>
  <si>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</si>
  <si>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</si>
  <si>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</si>
  <si>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</si>
  <si>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</si>
  <si>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</si>
  <si>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</si>
  <si>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</si>
  <si>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</si>
  <si>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</si>
  <si>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</si>
  <si>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</si>
  <si>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</si>
  <si>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</si>
  <si>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</si>
  <si>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</si>
  <si>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</si>
  <si>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</si>
  <si>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</si>
  <si>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</si>
  <si>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</si>
  <si>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</si>
  <si>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</si>
  <si>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</si>
  <si>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</si>
  <si>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</si>
  <si>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</si>
  <si>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</si>
  <si>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</si>
  <si>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</si>
  <si>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</si>
  <si>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</si>
  <si>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</si>
  <si>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</si>
  <si>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</si>
  <si>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</si>
  <si>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</si>
  <si>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</si>
  <si>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</si>
  <si>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</si>
  <si>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</si>
  <si>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</si>
  <si>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</si>
  <si>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</si>
  <si>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</si>
  <si>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</si>
  <si>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</si>
  <si>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</si>
  <si>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</si>
  <si>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</si>
  <si>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</si>
  <si>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</si>
  <si>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</si>
  <si>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</si>
  <si>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</si>
  <si>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</si>
  <si>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</si>
  <si>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</si>
  <si>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</si>
  <si>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</si>
  <si>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</si>
  <si>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</si>
  <si>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</si>
  <si>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</si>
  <si>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</si>
  <si>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</si>
  <si>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</si>
  <si>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</si>
  <si>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</si>
  <si>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</si>
  <si>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</si>
  <si>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</si>
  <si>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</si>
  <si>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</si>
  <si>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</si>
  <si>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</si>
  <si>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</si>
  <si>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</si>
  <si>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</si>
  <si>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</si>
  <si>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</si>
  <si>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</si>
  <si>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</si>
  <si>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</si>
  <si>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</si>
  <si>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</si>
  <si>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</si>
  <si>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</si>
  <si>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</si>
  <si>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</si>
  <si>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</si>
  <si>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</si>
  <si>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</si>
  <si>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</si>
  <si>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</si>
  <si>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</si>
  <si>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</si>
  <si>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</si>
  <si>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</si>
  <si>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</si>
  <si>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</si>
  <si>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</si>
  <si>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</si>
  <si>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</si>
  <si>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</si>
  <si>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</si>
  <si>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</si>
  <si>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</si>
  <si>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</si>
  <si>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</si>
  <si>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</si>
  <si>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</si>
  <si>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</si>
  <si>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</si>
  <si>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</si>
  <si>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</si>
  <si>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</si>
  <si>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</si>
  <si>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</si>
  <si>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</si>
  <si>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</si>
  <si>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</si>
  <si>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</si>
  <si>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</si>
  <si>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</si>
  <si>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</si>
  <si>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</si>
  <si>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</si>
  <si>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</si>
  <si>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</si>
  <si>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</si>
  <si>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</si>
  <si>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</si>
  <si>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</si>
  <si>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</si>
  <si>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</si>
  <si>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</si>
  <si>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</si>
  <si>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</si>
  <si>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</si>
  <si>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</si>
  <si>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</si>
  <si>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</si>
  <si>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</si>
  <si>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</si>
  <si>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</si>
  <si>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</si>
  <si>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</si>
  <si>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</si>
  <si>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</si>
  <si>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</si>
  <si>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</si>
  <si>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</si>
  <si>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</si>
  <si>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</si>
  <si>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</si>
  <si>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</si>
  <si>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</si>
  <si>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</si>
  <si>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</si>
  <si>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</si>
  <si>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</si>
  <si>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</si>
  <si>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</si>
  <si>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</si>
  <si>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</si>
  <si>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</si>
  <si>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</si>
  <si>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</si>
  <si>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</si>
  <si>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</si>
  <si>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</si>
  <si>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</si>
  <si>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</si>
  <si>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</si>
  <si>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</si>
  <si>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</si>
  <si>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</si>
  <si>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</si>
  <si>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</si>
  <si>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</si>
  <si>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</si>
  <si>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</si>
  <si>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</si>
  <si>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</si>
  <si>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</si>
  <si>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</si>
  <si>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</si>
  <si>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</si>
  <si>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</si>
  <si>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</si>
  <si>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</si>
  <si>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</si>
  <si>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</si>
  <si>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</si>
  <si>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</si>
  <si>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</si>
  <si>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</si>
  <si>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</si>
  <si>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</si>
  <si>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</si>
  <si>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</si>
  <si>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</si>
  <si>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</si>
  <si>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</si>
  <si>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</si>
  <si>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</si>
  <si>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</si>
  <si>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</si>
  <si>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</si>
  <si>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</si>
  <si>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</si>
  <si>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</si>
  <si>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</si>
  <si>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</si>
  <si>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</si>
  <si>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</si>
  <si>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</si>
  <si>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</si>
  <si>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</si>
  <si>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</si>
  <si>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</si>
  <si>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</si>
  <si>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</si>
  <si>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</si>
  <si>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</si>
  <si>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</si>
  <si>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</si>
  <si>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</si>
  <si>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</si>
  <si>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</si>
  <si>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</si>
  <si>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</si>
  <si>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</si>
  <si>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</si>
  <si>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</si>
  <si>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</si>
  <si>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</si>
  <si>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</si>
  <si>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</si>
  <si>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</si>
  <si>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</si>
  <si>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</si>
  <si>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</si>
  <si>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</si>
  <si>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</si>
  <si>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</si>
  <si>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</si>
  <si>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</si>
  <si>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</si>
  <si>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</si>
  <si>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</si>
  <si>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</si>
  <si>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</si>
  <si>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</si>
  <si>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</si>
  <si>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</si>
  <si>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</si>
  <si>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</si>
  <si>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</si>
  <si>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</si>
  <si>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</si>
  <si>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</si>
  <si>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</si>
  <si>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</si>
  <si>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</si>
  <si>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</si>
  <si>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</si>
  <si>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</si>
  <si>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</si>
  <si>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</si>
  <si>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</si>
  <si>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</si>
  <si>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</si>
  <si>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</si>
  <si>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</si>
  <si>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</si>
  <si>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</si>
  <si>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</si>
  <si>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</si>
  <si>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</si>
  <si>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</si>
  <si>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</si>
  <si>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</si>
  <si>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</si>
  <si>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</si>
  <si>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</si>
  <si>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</si>
  <si>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</si>
  <si>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</si>
  <si>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</si>
  <si>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</si>
  <si>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</si>
  <si>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</si>
  <si>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</si>
  <si>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</si>
  <si>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</si>
  <si>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</si>
  <si>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</si>
  <si>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</si>
  <si>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</si>
  <si>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</si>
  <si>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</si>
  <si>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</si>
  <si>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</si>
  <si>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</si>
  <si>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</si>
  <si>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</si>
  <si>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</si>
  <si>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</si>
  <si>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</si>
  <si>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</si>
  <si>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</si>
  <si>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</si>
  <si>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</si>
  <si>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</si>
  <si>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</si>
  <si>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</si>
  <si>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</si>
  <si>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</si>
  <si>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</si>
  <si>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</si>
  <si>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</si>
  <si>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</si>
  <si>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</si>
  <si>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</si>
  <si>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</si>
  <si>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</si>
  <si>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</si>
  <si>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</si>
  <si>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</si>
  <si>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</si>
  <si>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</si>
  <si>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</si>
  <si>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</si>
  <si>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</si>
  <si>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</si>
  <si>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</si>
  <si>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</si>
  <si>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</si>
  <si>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</si>
  <si>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</si>
  <si>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</si>
  <si>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</si>
  <si>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</si>
  <si>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</si>
  <si>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</si>
  <si>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</si>
  <si>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</si>
  <si>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</si>
  <si>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</si>
  <si>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</si>
  <si>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</si>
  <si>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</si>
  <si>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</si>
  <si>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</si>
  <si>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</si>
  <si>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</si>
  <si>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</si>
  <si>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</si>
  <si>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</si>
  <si>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</si>
  <si>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</si>
  <si>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</si>
  <si>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</si>
  <si>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</si>
  <si>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</si>
  <si>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</si>
  <si>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</si>
  <si>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</si>
  <si>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</si>
  <si>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</si>
  <si>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</si>
  <si>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</si>
  <si>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</si>
  <si>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</si>
  <si>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</si>
  <si>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</si>
  <si>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</si>
  <si>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</si>
  <si>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</si>
  <si>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</si>
  <si>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</si>
  <si>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</si>
  <si>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</si>
  <si>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</si>
  <si>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</si>
  <si>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</si>
  <si>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</si>
  <si>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</si>
  <si>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</si>
  <si>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</si>
  <si>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</si>
  <si>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</si>
  <si>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</si>
  <si>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</si>
  <si>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</si>
  <si>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</si>
  <si>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</si>
  <si>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</si>
  <si>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</si>
  <si>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</si>
  <si>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</si>
  <si>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</si>
  <si>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</si>
  <si>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</si>
  <si>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</si>
  <si>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</si>
  <si>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</si>
  <si>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</si>
  <si>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</si>
  <si>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</si>
  <si>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</si>
  <si>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</si>
  <si>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</si>
  <si>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</si>
  <si>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</si>
  <si>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</si>
  <si>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</si>
  <si>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</si>
  <si>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</si>
  <si>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</si>
  <si>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</si>
  <si>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</si>
  <si>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</si>
  <si>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</si>
  <si>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</si>
  <si>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</si>
  <si>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</si>
  <si>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</si>
  <si>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</si>
  <si>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</si>
  <si>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</si>
  <si>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</si>
  <si>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</si>
  <si>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</si>
  <si>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</si>
  <si>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</si>
  <si>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</si>
  <si>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</si>
  <si>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</si>
  <si>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</si>
  <si>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</si>
  <si>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</si>
  <si>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</si>
  <si>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</si>
  <si>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</si>
  <si>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</si>
  <si>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</si>
  <si>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</si>
  <si>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</si>
  <si>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</si>
  <si>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</si>
  <si>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</si>
  <si>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</si>
  <si>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</si>
  <si>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</si>
  <si>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</si>
  <si>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</si>
  <si>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</si>
  <si>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</si>
  <si>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</si>
  <si>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</si>
  <si>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</si>
  <si>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</si>
  <si>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</si>
  <si>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</si>
  <si>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</si>
  <si>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</si>
  <si>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</si>
  <si>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</si>
  <si>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</si>
  <si>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</si>
  <si>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</si>
  <si>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</si>
  <si>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</si>
  <si>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</si>
  <si>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</si>
  <si>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</si>
  <si>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</si>
  <si>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</si>
  <si>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</si>
  <si>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</si>
  <si>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</si>
  <si>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</si>
  <si>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</si>
  <si>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</si>
  <si>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</si>
  <si>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</si>
  <si>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</si>
  <si>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</si>
  <si>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</si>
  <si>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</si>
  <si>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</si>
  <si>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</si>
  <si>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</si>
  <si>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</si>
  <si>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</si>
  <si>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</si>
  <si>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</si>
  <si>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</si>
  <si>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</si>
  <si>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</si>
  <si>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</si>
  <si>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</si>
  <si>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</si>
  <si>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</si>
  <si>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</si>
  <si>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</si>
  <si>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</si>
  <si>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</si>
  <si>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</si>
  <si>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</si>
  <si>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</si>
  <si>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</si>
  <si>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</si>
  <si>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</si>
  <si>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</si>
  <si>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</si>
  <si>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</si>
  <si>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</si>
  <si>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</si>
  <si>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</si>
  <si>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</si>
  <si>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</si>
  <si>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</si>
  <si>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</si>
  <si>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</si>
  <si>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</si>
  <si>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</si>
  <si>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</si>
  <si>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</si>
  <si>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</si>
  <si>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</si>
  <si>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</si>
  <si>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</si>
  <si>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</si>
  <si>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</si>
  <si>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</si>
  <si>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</si>
  <si>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</si>
  <si>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</si>
  <si>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</si>
  <si>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</si>
  <si>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</si>
  <si>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</si>
  <si>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</si>
  <si>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</si>
  <si>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</si>
  <si>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</si>
  <si>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</si>
  <si>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</si>
  <si>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</si>
  <si>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</si>
  <si>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</si>
  <si>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</si>
  <si>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</si>
  <si>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</si>
  <si>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</si>
  <si>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</si>
  <si>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</si>
  <si>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</si>
  <si>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</si>
  <si>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</si>
  <si>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</si>
  <si>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</si>
  <si>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</si>
  <si>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</si>
  <si>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</si>
  <si>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</si>
  <si>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</si>
  <si>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</si>
  <si>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</si>
  <si>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</si>
  <si>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</si>
  <si>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</si>
  <si>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</si>
  <si>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</si>
  <si>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</si>
  <si>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</si>
  <si>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</si>
  <si>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</si>
  <si>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</si>
  <si>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</si>
  <si>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</si>
  <si>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</si>
  <si>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</si>
  <si>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</si>
  <si>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</si>
  <si>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</si>
  <si>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</si>
  <si>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</si>
  <si>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</si>
  <si>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</si>
  <si>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</si>
  <si>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</si>
  <si>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</si>
  <si>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</si>
  <si>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</si>
  <si>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</si>
  <si>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</si>
  <si>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</si>
  <si>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</si>
  <si>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</si>
  <si>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</si>
  <si>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</si>
  <si>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</si>
  <si>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</si>
  <si>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</si>
  <si>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</si>
  <si>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</si>
  <si>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</si>
  <si>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</si>
  <si>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</si>
  <si>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</si>
  <si>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</si>
  <si>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</si>
  <si>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</si>
  <si>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</si>
  <si>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</si>
  <si>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</si>
  <si>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</si>
  <si>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</si>
  <si>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</si>
  <si>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</si>
  <si>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</si>
  <si>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</si>
  <si>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</si>
  <si>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</si>
  <si>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</si>
  <si>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</si>
  <si>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</si>
  <si>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</si>
  <si>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</si>
  <si>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</si>
  <si>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</si>
  <si>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</si>
  <si>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</si>
  <si>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</si>
  <si>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</si>
  <si>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</si>
  <si>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</si>
  <si>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</si>
  <si>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</si>
  <si>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</si>
  <si>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</si>
  <si>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</si>
  <si>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</si>
  <si>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</si>
  <si>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</si>
  <si>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</si>
  <si>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</si>
  <si>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</si>
  <si>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</si>
  <si>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</si>
  <si>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</si>
  <si>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</si>
  <si>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</si>
  <si>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</si>
  <si>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</si>
  <si>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</si>
  <si>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</si>
  <si>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</si>
  <si>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</si>
  <si>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</si>
  <si>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</si>
  <si>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</si>
  <si>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</si>
  <si>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</si>
  <si>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</si>
  <si>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</si>
  <si>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</si>
  <si>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</si>
  <si>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</si>
  <si>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</si>
  <si>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</si>
  <si>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</si>
  <si>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</si>
  <si>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</si>
  <si>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</si>
  <si>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</si>
  <si>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</si>
  <si>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</si>
  <si>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</si>
  <si>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</si>
  <si>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</si>
  <si>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</si>
  <si>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</si>
  <si>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</si>
  <si>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</si>
  <si>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</si>
  <si>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</si>
  <si>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</si>
  <si>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</si>
  <si>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</si>
  <si>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</si>
  <si>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</si>
  <si>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</si>
  <si>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</si>
  <si>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</si>
  <si>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</si>
  <si>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</si>
  <si>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</si>
  <si>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</si>
  <si>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</si>
  <si>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</si>
  <si>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</si>
  <si>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</si>
  <si>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</si>
  <si>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</si>
  <si>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</si>
  <si>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</si>
  <si>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</si>
  <si>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</si>
  <si>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</si>
  <si>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</si>
  <si>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</si>
  <si>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</si>
  <si>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</si>
  <si>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</si>
  <si>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</si>
  <si>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</si>
  <si>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</si>
  <si>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</si>
  <si>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</si>
  <si>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</si>
  <si>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</si>
  <si>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</si>
  <si>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</si>
  <si>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</si>
  <si>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</si>
  <si>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</si>
  <si>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</si>
  <si>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</si>
  <si>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</si>
  <si>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</si>
  <si>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</si>
  <si>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</si>
  <si>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</si>
  <si>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</si>
  <si>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</si>
  <si>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</si>
  <si>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</si>
  <si>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</si>
  <si>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</si>
  <si>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</si>
  <si>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</si>
  <si>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</si>
  <si>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</si>
  <si>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</si>
  <si>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</si>
  <si>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</si>
  <si>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</si>
  <si>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</si>
  <si>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</si>
  <si>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</si>
  <si>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</si>
  <si>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</si>
  <si>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</si>
  <si>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</si>
  <si>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</si>
  <si>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</si>
  <si>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</si>
  <si>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</si>
  <si>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</si>
  <si>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</si>
  <si>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</si>
  <si>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</si>
  <si>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</si>
  <si>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</si>
  <si>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</si>
  <si>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</si>
  <si>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</si>
  <si>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</si>
  <si>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</si>
  <si>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</si>
  <si>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</si>
  <si>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</si>
  <si>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</si>
  <si>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</si>
  <si>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</si>
  <si>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</si>
  <si>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</si>
  <si>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</si>
  <si>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</si>
  <si>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</si>
  <si>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</si>
  <si>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</si>
  <si>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</si>
  <si>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</si>
  <si>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</si>
  <si>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</si>
  <si>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</si>
  <si>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</si>
  <si>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</si>
  <si>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</si>
  <si>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</si>
  <si>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</si>
  <si>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</si>
  <si>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</si>
  <si>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</si>
  <si>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</si>
  <si>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</si>
  <si>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</si>
  <si>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</si>
  <si>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</si>
  <si>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</si>
  <si>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</si>
  <si>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</si>
  <si>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</si>
  <si>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</si>
  <si>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</si>
  <si>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</si>
  <si>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</si>
  <si>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</si>
  <si>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</si>
  <si>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</si>
  <si>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</si>
  <si>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</si>
  <si>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</si>
  <si>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</si>
  <si>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</si>
  <si>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</si>
  <si>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</si>
  <si>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</si>
  <si>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</si>
  <si>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</si>
  <si>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</si>
  <si>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</si>
  <si>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</si>
  <si>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</si>
  <si>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</si>
  <si>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</si>
  <si>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</si>
  <si>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</si>
  <si>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</si>
  <si>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</si>
  <si>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</si>
  <si>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</si>
  <si>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</si>
  <si>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</si>
  <si>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</si>
  <si>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</si>
  <si>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</si>
  <si>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</si>
  <si>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</si>
  <si>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</si>
  <si>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</si>
  <si>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</si>
  <si>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</si>
  <si>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</si>
  <si>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</si>
  <si>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</si>
  <si>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</si>
  <si>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</si>
  <si>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</si>
  <si>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</si>
  <si>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</si>
  <si>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</si>
  <si>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</si>
  <si>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</si>
  <si>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</si>
  <si>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</si>
  <si>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</si>
  <si>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</si>
  <si>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</si>
  <si>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</si>
  <si>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</si>
  <si>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</si>
  <si>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</si>
  <si>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</si>
  <si>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</si>
  <si>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</si>
  <si>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</si>
  <si>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</si>
  <si>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</si>
  <si>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</si>
  <si>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</si>
  <si>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</si>
  <si>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</si>
  <si>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</si>
  <si>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</si>
  <si>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</si>
  <si>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</si>
  <si>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</si>
  <si>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</si>
  <si>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</si>
  <si>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</si>
  <si>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</si>
  <si>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</si>
  <si>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</si>
  <si>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</si>
  <si>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</si>
  <si>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</si>
  <si>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</si>
  <si>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</si>
  <si>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</si>
  <si>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</si>
  <si>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</si>
  <si>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</si>
  <si>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</si>
  <si>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</si>
  <si>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</si>
  <si>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</si>
  <si>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</si>
  <si>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</si>
  <si>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</si>
  <si>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</si>
  <si>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</si>
  <si>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</si>
  <si>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</si>
  <si>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</si>
  <si>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</si>
  <si>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</si>
  <si>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</si>
  <si>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</si>
  <si>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</si>
  <si>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</si>
  <si>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</si>
  <si>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</si>
  <si>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</si>
  <si>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</si>
  <si>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</si>
  <si>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</si>
  <si>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</si>
  <si>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</si>
  <si>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</si>
  <si>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</si>
  <si>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</si>
  <si>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</si>
  <si>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</si>
  <si>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</si>
  <si>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</si>
  <si>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</si>
  <si>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</si>
  <si>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</si>
  <si>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</si>
  <si>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</si>
  <si>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</si>
  <si>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</si>
  <si>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</si>
  <si>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</si>
  <si>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</si>
  <si>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</si>
  <si>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</si>
  <si>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</si>
  <si>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</si>
  <si>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</si>
  <si>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</si>
  <si>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</si>
  <si>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</si>
  <si>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</si>
  <si>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</si>
  <si>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</si>
  <si>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</si>
  <si>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</si>
  <si>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</si>
  <si>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</si>
  <si>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</si>
  <si>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</si>
  <si>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</si>
  <si>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</si>
  <si>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</si>
  <si>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</si>
  <si>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</si>
  <si>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</si>
  <si>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</si>
  <si>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</si>
  <si>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</si>
  <si>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</si>
  <si>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</si>
  <si>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</si>
  <si>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</si>
  <si>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</si>
  <si>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</si>
  <si>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</si>
  <si>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</si>
  <si>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</si>
  <si>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</si>
  <si>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</si>
  <si>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</si>
  <si>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</si>
  <si>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</si>
  <si>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</si>
  <si>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</si>
  <si>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</si>
  <si>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</si>
  <si>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</si>
  <si>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</si>
  <si>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</si>
  <si>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</si>
  <si>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</si>
  <si>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</si>
  <si>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</si>
  <si>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</si>
  <si>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</si>
  <si>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</si>
  <si>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</si>
  <si>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</si>
  <si>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</si>
  <si>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</si>
  <si>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</si>
  <si>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</si>
  <si>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</si>
  <si>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</si>
  <si>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</si>
  <si>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</si>
  <si>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</si>
  <si>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</si>
  <si>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</si>
  <si>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</si>
  <si>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</si>
  <si>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</si>
  <si>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</si>
  <si>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</si>
  <si>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</si>
  <si>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</si>
  <si>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</si>
  <si>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</si>
  <si>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</si>
  <si>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</si>
  <si>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</si>
  <si>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</si>
  <si>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</si>
  <si>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</si>
  <si>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</si>
  <si>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</si>
  <si>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</si>
  <si>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</si>
  <si>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</si>
  <si>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</si>
  <si>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</si>
  <si>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</si>
  <si>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</si>
  <si>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</si>
  <si>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</si>
  <si>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</si>
  <si>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</si>
  <si>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</si>
  <si>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</si>
  <si>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</si>
  <si>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</si>
  <si>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</si>
  <si>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</si>
  <si>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</si>
  <si>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</si>
  <si>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</si>
  <si>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</si>
  <si>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</si>
  <si>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</si>
  <si>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</si>
  <si>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</si>
  <si>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</si>
  <si>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</si>
  <si>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</si>
  <si>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</si>
  <si>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</si>
  <si>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</si>
  <si>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</si>
  <si>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</si>
  <si>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</si>
  <si>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</si>
  <si>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</si>
  <si>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</si>
  <si>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</si>
  <si>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</si>
  <si>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</si>
  <si>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</si>
  <si>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</si>
  <si>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</si>
  <si>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</si>
  <si>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</si>
  <si>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</si>
  <si>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</si>
  <si>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</si>
  <si>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</si>
  <si>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</si>
  <si>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</si>
  <si>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</si>
  <si>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</si>
  <si>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</si>
  <si>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</si>
  <si>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</si>
  <si>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</si>
  <si>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</si>
  <si>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</si>
  <si>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</si>
  <si>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</si>
  <si>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</si>
  <si>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</si>
  <si>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</si>
  <si>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</si>
  <si>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</si>
  <si>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</si>
  <si>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</si>
  <si>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</si>
  <si>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</si>
  <si>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</si>
  <si>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</si>
  <si>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</si>
  <si>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</si>
  <si>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</si>
  <si>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</si>
  <si>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</si>
  <si>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</si>
  <si>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</si>
  <si>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</si>
  <si>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</si>
  <si>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</si>
  <si>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</si>
  <si>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</si>
  <si>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</si>
  <si>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</si>
  <si>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</si>
  <si>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</si>
  <si>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</si>
  <si>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</si>
  <si>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</si>
  <si>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</si>
  <si>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</si>
  <si>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</si>
  <si>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</si>
  <si>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</si>
  <si>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</si>
  <si>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</si>
  <si>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</si>
  <si>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</si>
  <si>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</si>
  <si>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</si>
  <si>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</si>
  <si>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</si>
  <si>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</si>
  <si>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</si>
  <si>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</si>
  <si>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</si>
  <si>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</si>
  <si>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</si>
  <si>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</si>
  <si>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</si>
  <si>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</si>
  <si>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</si>
  <si>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</si>
  <si>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</si>
  <si>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</si>
  <si>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</si>
  <si>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</si>
  <si>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</si>
  <si>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</si>
  <si>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</si>
  <si>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</si>
  <si>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</si>
  <si>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</si>
  <si>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</si>
  <si>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</si>
  <si>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</si>
  <si>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</si>
  <si>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</si>
  <si>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</si>
  <si>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</si>
  <si>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</si>
  <si>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</si>
  <si>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</si>
  <si>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</si>
  <si>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</si>
  <si>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</si>
  <si>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</si>
  <si>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</si>
  <si>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</si>
  <si>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</si>
  <si>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</si>
  <si>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</si>
  <si>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</si>
  <si>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</si>
  <si>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</si>
  <si>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</si>
  <si>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</si>
  <si>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</si>
  <si>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</si>
  <si>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</si>
  <si>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</si>
  <si>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</si>
  <si>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</si>
  <si>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</si>
  <si>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</si>
  <si>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</si>
  <si>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</si>
  <si>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</si>
  <si>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</si>
  <si>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</si>
  <si>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</si>
  <si>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</si>
  <si>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</si>
  <si>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</si>
  <si>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</si>
  <si>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</si>
  <si>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</si>
  <si>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</si>
  <si>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</si>
  <si>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</si>
  <si>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</si>
  <si>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</si>
  <si>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</si>
  <si>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</si>
  <si>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</si>
  <si>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</si>
  <si>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</si>
  <si>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</si>
  <si>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</si>
  <si>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</si>
  <si>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</si>
  <si>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</si>
  <si>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</si>
  <si>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</si>
  <si>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</si>
  <si>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</si>
  <si>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</si>
  <si>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</si>
  <si>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</si>
  <si>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</si>
  <si>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</si>
  <si>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</si>
  <si>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</si>
  <si>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</si>
  <si>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</si>
  <si>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</si>
  <si>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</si>
  <si>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</si>
  <si>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</si>
  <si>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</si>
  <si>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</si>
  <si>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</si>
  <si>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</si>
  <si>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</si>
  <si>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</si>
  <si>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</si>
  <si>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</si>
  <si>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</si>
  <si>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</si>
  <si>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</si>
  <si>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</si>
  <si>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</si>
  <si>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</si>
  <si>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</si>
  <si>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</si>
  <si>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</si>
  <si>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</si>
  <si>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</si>
  <si>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</si>
  <si>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</si>
  <si>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</si>
  <si>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</si>
  <si>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</si>
  <si>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</si>
  <si>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</si>
  <si>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</si>
  <si>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</si>
  <si>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</si>
  <si>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</si>
  <si>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</si>
  <si>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</si>
  <si>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</si>
  <si>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</si>
  <si>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</si>
  <si>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</si>
  <si>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</si>
  <si>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</si>
  <si>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</si>
  <si>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</si>
  <si>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</si>
  <si>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</si>
  <si>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</si>
  <si>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</si>
  <si>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</si>
  <si>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</si>
  <si>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</si>
  <si>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</si>
  <si>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</si>
  <si>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</si>
  <si>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</si>
  <si>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</si>
  <si>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</si>
  <si>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</si>
  <si>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</si>
  <si>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</si>
  <si>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</si>
  <si>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</si>
  <si>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</si>
  <si>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</si>
  <si>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</si>
  <si>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</si>
  <si>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</si>
  <si>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</si>
  <si>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</si>
  <si>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</si>
  <si>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</si>
  <si>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</si>
  <si>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</si>
  <si>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</si>
  <si>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</si>
  <si>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</si>
  <si>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</si>
  <si>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</si>
  <si>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</si>
  <si>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</si>
  <si>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</si>
  <si>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</si>
  <si>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</si>
  <si>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</si>
  <si>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</si>
  <si>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</si>
  <si>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</si>
  <si>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</si>
  <si>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</si>
  <si>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</si>
  <si>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</si>
  <si>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</si>
  <si>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</si>
  <si>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</si>
  <si>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</si>
  <si>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</si>
  <si>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</si>
  <si>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</si>
  <si>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</si>
  <si>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</si>
  <si>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</si>
  <si>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</si>
  <si>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</si>
  <si>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</si>
  <si>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</si>
  <si>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</si>
  <si>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</si>
  <si>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</si>
  <si>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</si>
  <si>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</si>
  <si>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</si>
  <si>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</si>
  <si>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</si>
  <si>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</si>
  <si>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</si>
  <si>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</si>
  <si>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</si>
  <si>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</si>
  <si>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</si>
  <si>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</si>
  <si>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</si>
  <si>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</si>
  <si>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</si>
  <si>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</si>
  <si>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</si>
  <si>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</si>
  <si>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</si>
  <si>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</si>
  <si>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</si>
  <si>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</si>
  <si>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</si>
  <si>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</si>
  <si>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</si>
  <si>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</si>
  <si>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</si>
  <si>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</si>
  <si>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</si>
  <si>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</si>
  <si>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</si>
  <si>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</si>
  <si>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</si>
  <si>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</si>
  <si>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</si>
  <si>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</si>
  <si>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</si>
  <si>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</si>
  <si>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</si>
  <si>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</si>
  <si>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</si>
  <si>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</si>
  <si>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</si>
  <si>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</si>
  <si>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</si>
  <si>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</si>
  <si>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</si>
  <si>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</si>
  <si>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</si>
  <si>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</si>
  <si>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</si>
  <si>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</si>
  <si>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</si>
  <si>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</si>
  <si>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</si>
  <si>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</si>
  <si>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</si>
  <si>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</si>
  <si>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</si>
  <si>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</si>
  <si>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</si>
  <si>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</si>
  <si>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</si>
  <si>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</si>
  <si>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</si>
  <si>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</si>
  <si>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</si>
  <si>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</si>
  <si>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</si>
  <si>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</si>
  <si>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</si>
  <si>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</si>
  <si>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</si>
  <si>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</si>
  <si>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</si>
  <si>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</si>
  <si>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</si>
  <si>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</si>
  <si>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</si>
  <si>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</si>
  <si>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</si>
  <si>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</si>
  <si>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</si>
  <si>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</si>
  <si>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</si>
  <si>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</si>
  <si>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</si>
  <si>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</si>
  <si>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</si>
  <si>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</si>
  <si>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</si>
  <si>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</si>
  <si>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</si>
  <si>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</si>
  <si>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</si>
  <si>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</si>
  <si>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</si>
  <si>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</si>
  <si>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</si>
  <si>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</si>
  <si>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</si>
  <si>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</si>
  <si>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</si>
  <si>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</si>
  <si>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</si>
  <si>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</si>
  <si>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</si>
  <si>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</si>
  <si>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</si>
  <si>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</si>
  <si>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</si>
  <si>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</si>
  <si>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</si>
  <si>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</si>
  <si>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</si>
  <si>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</si>
  <si>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</si>
  <si>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</si>
  <si>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</si>
  <si>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</si>
  <si>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</si>
  <si>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</si>
  <si>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</si>
  <si>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</si>
  <si>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</si>
  <si>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</si>
  <si>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</si>
  <si>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</si>
  <si>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</si>
  <si>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</si>
  <si>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</si>
  <si>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</si>
  <si>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</si>
  <si>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</si>
  <si>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</si>
  <si>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</si>
  <si>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</si>
  <si>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</si>
  <si>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</si>
  <si>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</si>
  <si>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</si>
  <si>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</si>
  <si>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</si>
  <si>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</si>
  <si>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</si>
  <si>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</si>
  <si>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</si>
  <si>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</si>
  <si>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</si>
  <si>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</si>
  <si>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</si>
  <si>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</si>
  <si>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</si>
  <si>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</si>
  <si>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</si>
  <si>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</si>
  <si>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</si>
  <si>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</si>
  <si>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</si>
  <si>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</si>
  <si>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</si>
  <si>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</si>
  <si>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</si>
  <si>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</si>
  <si>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</si>
  <si>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</si>
  <si>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</si>
  <si>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</si>
  <si>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</si>
  <si>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</si>
  <si>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</si>
  <si>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</si>
  <si>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</si>
  <si>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</si>
  <si>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</si>
  <si>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</si>
  <si>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</si>
  <si>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</si>
  <si>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</si>
  <si>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</si>
  <si>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</si>
  <si>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</si>
  <si>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</si>
  <si>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</si>
  <si>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</si>
  <si>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</si>
  <si>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</si>
  <si>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</si>
  <si>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</si>
  <si>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</si>
  <si>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</si>
  <si>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</si>
  <si>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</si>
  <si>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</si>
  <si>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</si>
  <si>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</si>
  <si>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</si>
  <si>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</si>
  <si>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</si>
  <si>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</si>
  <si>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</si>
  <si>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</si>
  <si>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</si>
  <si>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</si>
  <si>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</si>
  <si>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</si>
  <si>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</si>
  <si>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</si>
  <si>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</si>
  <si>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</si>
  <si>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</si>
  <si>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</si>
  <si>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</si>
  <si>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</si>
  <si>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</si>
  <si>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</si>
  <si>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</si>
  <si>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</si>
  <si>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</si>
  <si>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</si>
  <si>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</si>
  <si>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</si>
  <si>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</si>
  <si>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</si>
  <si>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</si>
  <si>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</si>
  <si>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</si>
  <si>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</si>
  <si>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</si>
  <si>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</si>
  <si>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</si>
  <si>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</si>
  <si>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</si>
  <si>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</si>
  <si>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</si>
  <si>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</si>
  <si>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</si>
  <si>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</si>
  <si>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</si>
  <si>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</si>
  <si>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</si>
  <si>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</si>
  <si>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</si>
  <si>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</si>
  <si>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</si>
  <si>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</si>
  <si>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</si>
  <si>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</si>
  <si>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</si>
  <si>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</si>
  <si>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</si>
  <si>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</si>
  <si>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</si>
  <si>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</si>
  <si>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</si>
  <si>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</si>
  <si>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</si>
  <si>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</si>
  <si>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</si>
  <si>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</si>
  <si>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</si>
  <si>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</si>
  <si>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</si>
  <si>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</si>
  <si>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</si>
  <si>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</si>
  <si>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</si>
  <si>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</si>
  <si>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</si>
  <si>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</si>
  <si>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</si>
  <si>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</si>
  <si>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</si>
  <si>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</si>
  <si>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</si>
  <si>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</si>
  <si>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</si>
  <si>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</si>
  <si>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</si>
  <si>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</si>
  <si>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</si>
  <si>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</si>
  <si>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</si>
  <si>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</si>
  <si>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</si>
  <si>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</si>
  <si>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</si>
  <si>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</si>
  <si>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</si>
  <si>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</si>
  <si>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</si>
  <si>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</si>
  <si>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</si>
  <si>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</si>
  <si>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</si>
  <si>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</si>
  <si>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</si>
  <si>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</si>
  <si>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</si>
  <si>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</si>
  <si>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</si>
  <si>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</si>
  <si>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</si>
  <si>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</si>
  <si>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</si>
  <si>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</si>
  <si>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</si>
  <si>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</si>
  <si>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</si>
  <si>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</si>
  <si>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</si>
  <si>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</si>
  <si>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</si>
  <si>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</si>
  <si>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</si>
  <si>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</si>
  <si>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</si>
  <si>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</si>
  <si>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</si>
  <si>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</si>
  <si>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</si>
  <si>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</si>
  <si>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</si>
  <si>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</si>
  <si>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</si>
  <si>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</si>
  <si>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</si>
  <si>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</si>
  <si>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</si>
  <si>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</si>
  <si>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</si>
  <si>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</si>
  <si>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</si>
  <si>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</si>
  <si>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</si>
  <si>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</si>
  <si>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</si>
  <si>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</si>
  <si>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</si>
  <si>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</si>
  <si>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</si>
  <si>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</si>
  <si>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</si>
  <si>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</si>
  <si>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</si>
  <si>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</si>
  <si>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</si>
  <si>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</si>
  <si>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</si>
  <si>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</si>
  <si>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</si>
  <si>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</si>
  <si>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</si>
  <si>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</si>
  <si>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</si>
  <si>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</si>
  <si>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</si>
  <si>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</si>
  <si>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</si>
  <si>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</si>
  <si>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</si>
  <si>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</si>
  <si>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</si>
  <si>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</si>
  <si>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</si>
  <si>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</si>
  <si>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</si>
  <si>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</si>
  <si>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</si>
  <si>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</si>
  <si>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</si>
  <si>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</si>
  <si>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</si>
  <si>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</si>
  <si>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</si>
  <si>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</si>
  <si>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</si>
  <si>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</si>
  <si>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</si>
  <si>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</si>
  <si>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</si>
  <si>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</si>
  <si>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</si>
  <si>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</si>
  <si>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</si>
  <si>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</si>
  <si>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</si>
  <si>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</si>
  <si>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</si>
  <si>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</si>
  <si>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</si>
  <si>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</si>
  <si>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</si>
  <si>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</si>
  <si>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</si>
  <si>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</si>
  <si>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</si>
  <si>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</si>
  <si>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</si>
  <si>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</si>
  <si>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</si>
  <si>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</si>
  <si>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</si>
  <si>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</si>
  <si>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</si>
  <si>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</si>
  <si>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</si>
  <si>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</si>
  <si>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</si>
  <si>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</si>
  <si>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</si>
  <si>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</si>
  <si>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</si>
  <si>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</si>
  <si>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</si>
  <si>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</si>
  <si>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</si>
  <si>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</si>
  <si>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</si>
  <si>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</si>
  <si>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</si>
  <si>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</si>
  <si>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</si>
  <si>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</si>
  <si>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</si>
  <si>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</si>
  <si>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</si>
  <si>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</si>
  <si>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</si>
  <si>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</si>
  <si>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</si>
  <si>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</si>
  <si>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</si>
  <si>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</si>
  <si>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</si>
  <si>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</si>
  <si>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</si>
  <si>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</si>
  <si>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</si>
  <si>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</si>
  <si>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</si>
  <si>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</si>
  <si>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</si>
  <si>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</si>
  <si>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</si>
  <si>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</si>
  <si>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</si>
  <si>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</si>
  <si>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</si>
  <si>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</si>
  <si>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</si>
  <si>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</si>
  <si>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</si>
  <si>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</si>
  <si>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</si>
  <si>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</si>
  <si>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</si>
  <si>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</si>
  <si>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</si>
  <si>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</si>
  <si>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</si>
  <si>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</si>
  <si>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</si>
  <si>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</si>
  <si>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</si>
  <si>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</si>
  <si>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</si>
  <si>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</si>
  <si>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</si>
  <si>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</si>
  <si>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</si>
  <si>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</si>
  <si>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</si>
  <si>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</si>
  <si>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</si>
  <si>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</si>
  <si>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</si>
  <si>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</si>
  <si>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</si>
  <si>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</si>
  <si>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</si>
  <si>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</si>
  <si>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</si>
  <si>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</si>
  <si>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</si>
  <si>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</si>
  <si>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</si>
  <si>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</si>
  <si>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</si>
  <si>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</si>
  <si>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</si>
  <si>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</si>
  <si>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</si>
  <si>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</si>
  <si>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</si>
  <si>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</si>
  <si>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</si>
  <si>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</si>
  <si>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</si>
  <si>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</si>
  <si>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</si>
  <si>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</si>
  <si>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</si>
  <si>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</si>
  <si>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</si>
  <si>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</si>
  <si>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</si>
  <si>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</si>
  <si>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</si>
  <si>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</si>
  <si>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</si>
  <si>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</si>
  <si>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</si>
  <si>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</si>
  <si>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</si>
  <si>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</si>
  <si>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</si>
  <si>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</si>
  <si>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</si>
  <si>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</si>
  <si>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</si>
  <si>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</si>
  <si>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</si>
  <si>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</si>
  <si>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</si>
  <si>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</si>
  <si>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</si>
  <si>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</si>
  <si>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</si>
  <si>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</si>
  <si>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</si>
  <si>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</si>
  <si>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</si>
  <si>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</si>
  <si>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</si>
  <si>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</si>
  <si>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</si>
  <si>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</si>
  <si>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</si>
  <si>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</si>
  <si>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</si>
  <si>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</si>
  <si>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</si>
  <si>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</si>
  <si>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</si>
  <si>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</si>
  <si>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</si>
  <si>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</si>
  <si>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</si>
  <si>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</si>
  <si>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</si>
  <si>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</si>
  <si>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</si>
  <si>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</si>
  <si>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</si>
  <si>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</si>
  <si>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</si>
  <si>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</si>
  <si>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</si>
  <si>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</si>
  <si>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</si>
  <si>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</si>
  <si>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</si>
  <si>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</si>
  <si>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</si>
  <si>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</si>
  <si>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</si>
  <si>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</si>
  <si>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</si>
  <si>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</si>
  <si>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</si>
  <si>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</si>
  <si>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</si>
  <si>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</si>
  <si>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</si>
  <si>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</si>
  <si>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</si>
  <si>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</si>
  <si>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</si>
  <si>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</si>
  <si>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</si>
  <si>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</si>
  <si>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</si>
  <si>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</si>
  <si>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</si>
  <si>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</si>
  <si>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</si>
  <si>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</si>
  <si>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</si>
  <si>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</si>
  <si>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</si>
  <si>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</si>
  <si>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</si>
  <si>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</si>
  <si>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</si>
  <si>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</si>
  <si>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</si>
  <si>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</si>
  <si>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</si>
  <si>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</si>
  <si>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</si>
  <si>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</si>
  <si>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</si>
  <si>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</si>
  <si>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</si>
  <si>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</si>
  <si>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</si>
  <si>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</si>
  <si>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</si>
  <si>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</si>
  <si>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</si>
  <si>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</si>
  <si>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</si>
  <si>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</si>
  <si>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</si>
  <si>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</si>
  <si>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</si>
  <si>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</si>
  <si>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</si>
  <si>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</si>
  <si>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</si>
  <si>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</si>
  <si>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</si>
  <si>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</si>
  <si>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</si>
  <si>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</si>
  <si>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</si>
  <si>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</si>
  <si>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</si>
  <si>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</si>
  <si>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</si>
  <si>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</si>
  <si>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</si>
  <si>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</si>
  <si>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</si>
  <si>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</si>
  <si>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</si>
  <si>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</si>
  <si>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</si>
  <si>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</si>
  <si>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</si>
  <si>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</si>
  <si>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</si>
  <si>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</si>
  <si>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</si>
  <si>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</si>
  <si>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</si>
  <si>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</si>
  <si>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</si>
  <si>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</si>
  <si>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</si>
  <si>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</si>
  <si>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</si>
  <si>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</si>
  <si>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</si>
  <si>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</si>
  <si>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</si>
  <si>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</si>
  <si>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</si>
  <si>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</si>
  <si>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</si>
  <si>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</si>
  <si>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</si>
  <si>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</si>
  <si>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</si>
  <si>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</si>
  <si>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</si>
  <si>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</si>
  <si>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</si>
  <si>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</si>
  <si>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</si>
  <si>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</si>
  <si>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</si>
  <si>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</si>
  <si>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</si>
  <si>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</si>
  <si>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</si>
  <si>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</si>
  <si>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</si>
  <si>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</si>
  <si>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</si>
  <si>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</si>
  <si>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</si>
  <si>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</si>
  <si>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</si>
  <si>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</si>
  <si>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</si>
  <si>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</si>
  <si>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</si>
  <si>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</si>
  <si>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</si>
  <si>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</si>
  <si>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</si>
  <si>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</si>
  <si>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</si>
  <si>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</si>
  <si>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</si>
  <si>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</si>
  <si>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</si>
  <si>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</si>
  <si>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</si>
  <si>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</si>
  <si>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</si>
  <si>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</si>
  <si>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</si>
  <si>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</si>
  <si>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</si>
  <si>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</si>
  <si>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</si>
  <si>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</si>
  <si>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</si>
  <si>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</si>
  <si>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</si>
  <si>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</si>
  <si>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</si>
  <si>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</si>
  <si>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</si>
  <si>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</si>
  <si>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</si>
  <si>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</si>
  <si>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</si>
  <si>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</si>
  <si>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</si>
  <si>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</si>
  <si>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</si>
  <si>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</si>
  <si>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</si>
  <si>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</si>
  <si>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</si>
  <si>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</si>
  <si>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</si>
  <si>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Le Midour</t>
  </si>
  <si>
    <t xml:space="preserve">Le Midour à Loussous-Débat</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</si>
  <si>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</si>
  <si>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</si>
  <si>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</si>
  <si>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</si>
  <si>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</si>
  <si>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</si>
  <si>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</si>
  <si>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</si>
  <si>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Anthony ANTOINE, Leslie FOUCRIER</t>
  </si>
  <si>
    <t xml:space="preserve">conforme AFNOR T90-395 oct. 2003</t>
  </si>
  <si>
    <t xml:space="preserve">05229160</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</si>
  <si>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</si>
  <si>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</si>
  <si>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</si>
  <si>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</si>
  <si>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</si>
  <si>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</si>
  <si>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</si>
  <si>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</si>
  <si>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</si>
  <si>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</si>
  <si>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</si>
  <si>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fort</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</si>
  <si>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</si>
  <si>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</si>
  <si>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</si>
  <si>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</si>
  <si>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</si>
  <si>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</si>
  <si>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</si>
  <si>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</si>
  <si>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</si>
  <si>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</si>
  <si>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</si>
  <si>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</si>
  <si>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</si>
  <si>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</si>
  <si>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</si>
  <si>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</si>
  <si>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</si>
  <si>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</si>
  <si>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</si>
  <si>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</si>
  <si>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</si>
  <si>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</si>
  <si>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</si>
  <si>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</si>
  <si>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</si>
  <si>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</si>
  <si>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</si>
  <si>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</si>
  <si>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</si>
  <si>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</si>
  <si>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</si>
  <si>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</si>
  <si>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</si>
  <si>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</si>
  <si>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</si>
  <si>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</si>
  <si>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</si>
  <si>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(0,0224999994970858 %)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</si>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</sst>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tru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t="s">
        <v>2603</v>
      </c>
      <c r="B9" s="192" t="s">
        <v>2604</v>
      </c>
      <c r="C9" s="193" t="n">
        <v>41907</v>
      </c>
      <c r="D9" s="194" t="n">
        <v>8.8</v>
      </c>
      <c r="E9" s="195" t="n">
        <v>4</v>
      </c>
      <c r="F9" s="196" t="n">
        <v>4</v>
      </c>
      <c r="G9" s="195" t="n">
        <v>3</v>
      </c>
      <c r="H9" s="197" t="n">
        <v>1</v>
      </c>
      <c r="I9" s="196" t="n">
        <v>0</v>
      </c>
      <c r="J9" s="198" t="n">
        <v>8</v>
      </c>
      <c r="K9" s="199" t="n">
        <v>3.16227766016838</v>
      </c>
      <c r="L9" s="200" t="n">
        <v>4</v>
      </c>
      <c r="M9" s="201" t="n">
        <v>12</v>
      </c>
      <c r="N9" s="202" t="n">
        <v>1.25</v>
      </c>
      <c r="O9" s="199" t="n">
        <v>0.433012701892219</v>
      </c>
      <c r="P9" s="200" t="n">
        <v>1</v>
      </c>
      <c r="Q9" s="201" t="n">
        <v>2</v>
      </c>
      <c r="R9" s="203" t="n">
        <v>0.0224999994970858</v>
      </c>
      <c r="S9" s="204" t="n">
        <v>0</v>
      </c>
      <c r="T9" s="200" t="n">
        <v>2</v>
      </c>
      <c r="U9" s="200" t="n">
        <v>2</v>
      </c>
      <c r="V9" s="200" t="n">
        <v>0</v>
      </c>
      <c r="W9" s="201" t="n">
        <v>0</v>
      </c>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2605</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2606</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2607</v>
      </c>
      <c r="C5" s="240"/>
      <c r="D5" s="241"/>
      <c r="E5" s="241"/>
      <c r="F5" s="241"/>
      <c r="G5" s="241"/>
      <c r="H5" s="241"/>
      <c r="I5" s="241"/>
      <c r="J5" s="241"/>
      <c r="K5" s="242" t="s">
        <v>2608</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W34" activeCellId="0" sqref="W34"/>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2612</v>
      </c>
      <c r="B2" s="284"/>
      <c r="C2" s="285" t="s">
        <v>2613</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2603</v>
      </c>
      <c r="B3" s="284"/>
      <c r="C3" s="283" t="s">
        <v>2604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41907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8.8</v>
      </c>
      <c r="M5" s="323"/>
      <c r="N5" s="324" t="s">
        <v>852</v>
      </c>
      <c r="O5" s="325" t="n">
        <v>6.66666666666667</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45</v>
      </c>
      <c r="C7" s="337" t="n">
        <v>55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v>
      </c>
      <c r="O8" s="354" t="n">
        <f aca="false">IF(ISERROR(AVERAGE(J23:J82)),"      -",AVERAGE(J23:J82))</f>
        <v>1.25</v>
      </c>
      <c r="P8" s="355"/>
      <c r="Q8" s="280"/>
      <c r="R8" s="280"/>
      <c r="S8" s="280"/>
      <c r="T8" s="280"/>
      <c r="U8" s="280"/>
      <c r="V8" s="280"/>
      <c r="W8" s="292"/>
      <c r="X8" s="293"/>
    </row>
    <row r="9" customFormat="false" ht="13.5" hidden="false" customHeight="false" outlineLevel="0" collapsed="false">
      <c r="A9" s="313" t="s">
        <v>2635</v>
      </c>
      <c r="B9" s="356" t="n">
        <v>0.100000001490116</v>
      </c>
      <c r="C9" s="357" t="n">
        <v>0.00999999977648258</v>
      </c>
      <c r="D9" s="358"/>
      <c r="E9" s="358"/>
      <c r="F9" s="359" t="n">
        <f aca="false">($B9*$B$7+$C9*$C$7)/100</f>
        <v>0.0505000005476177</v>
      </c>
      <c r="G9" s="360"/>
      <c r="H9" s="361"/>
      <c r="I9" s="362"/>
      <c r="J9" s="363"/>
      <c r="K9" s="343"/>
      <c r="L9" s="364"/>
      <c r="M9" s="353" t="s">
        <v>2636</v>
      </c>
      <c r="N9" s="354" t="n">
        <f aca="false">IF(ISERROR(STDEVP(I23:I82)),"     -",STDEVP(I23:I82))</f>
        <v>3.16227766016838</v>
      </c>
      <c r="O9" s="354" t="n">
        <f aca="false">IF(ISERROR(STDEVP(J23:J82)),"      -",STDEVP(J23:J82))</f>
        <v>0.433012701892219</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4</v>
      </c>
      <c r="O10" s="376" t="n">
        <f aca="false">MIN(J23:J82)</f>
        <v>1</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12</v>
      </c>
      <c r="O11" s="376" t="n">
        <f aca="false">MAX(J23:J82)</f>
        <v>2</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2</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2</v>
      </c>
      <c r="L13" s="386"/>
      <c r="M13" s="397" t="s">
        <v>2647</v>
      </c>
      <c r="N13" s="398" t="n">
        <f aca="false">COUNTIF(F23:F82,"&gt;0")</f>
        <v>4</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4</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3</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1</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0.0499999988824129</v>
      </c>
      <c r="C20" s="436" t="n">
        <f aca="false">SUM(C23:C82)</f>
        <v>0</v>
      </c>
      <c r="D20" s="437"/>
      <c r="E20" s="438" t="s">
        <v>2659</v>
      </c>
      <c r="F20" s="439" t="n">
        <f aca="false">($B20*$B$7+$C20*$C$7)/100</f>
        <v>0.0224999994970858</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0.0224999994970858</v>
      </c>
      <c r="C21" s="449" t="n">
        <f aca="false">C20*C7/100</f>
        <v>0</v>
      </c>
      <c r="D21" s="381" t="str">
        <f aca="false">IF(F21=0,"",IF((ABS(F21-F19))&gt;(0.2*F21),CONCATENATE(" rec. par taxa (",F21," %) supérieur à 20 % !"),""))</f>
        <v> rec. par taxa (0,0224999994970858 %) supérieur à 20 % !</v>
      </c>
      <c r="E21" s="450" t="str">
        <f aca="false">IF(F21=0,"",IF((ABS(F21-F19))&gt;(0.2*F21),CONCATENATE("ATTENTION : écart entre rec. par grp (",F19," %) ","et",""),""))</f>
        <v>ATTENTION : écart entre rec. par grp (0 %) et</v>
      </c>
      <c r="F21" s="451" t="n">
        <f aca="false">B21+C21</f>
        <v>0.0224999994970858</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122</v>
      </c>
      <c r="B23" s="475" t="n">
        <v>0.00999999977648258</v>
      </c>
      <c r="C23" s="476" t="n">
        <v>0</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0.00449999989941716</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0.00449999989941716</v>
      </c>
      <c r="R23" s="487" t="n">
        <f aca="false">IF(OR(ISTEXT(H23),Q23=0),"",IF(Q23&lt;0.1,1,IF(Q23&lt;1,2,IF(Q23&lt;10,3,IF(Q23&lt;50,4,IF(Q23&gt;=50,5,""))))))</f>
        <v>1</v>
      </c>
      <c r="S23" s="487" t="n">
        <f aca="false">IF(ISERROR(R23*I23),0,R23*I23)</f>
        <v>6</v>
      </c>
      <c r="T23" s="487" t="n">
        <f aca="false">IF(ISERROR(R23*I23*J23),0,R23*I23*J23)</f>
        <v>6</v>
      </c>
      <c r="U23" s="487" t="n">
        <f aca="false">IF(ISERROR(R23*J23),0,R23*J23)</f>
        <v>1</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896</v>
      </c>
      <c r="B24" s="494" t="n">
        <v>0.00999999977648258</v>
      </c>
      <c r="C24" s="495" t="n">
        <v>0</v>
      </c>
      <c r="D24" s="477" t="str">
        <f aca="false">IF(ISERROR(VLOOKUP($A24,'liste reference'!$A$7:$D$904,2,0)),IF(ISERROR(VLOOKUP($A24,'liste reference'!$B$7:$D$904,1,0)),"",VLOOKUP($A24,'liste reference'!$B$7:$D$904,1,0)),VLOOKUP($A24,'liste reference'!$A$7:$D$904,2,0))</f>
        <v>Fontinalis antipyretica</v>
      </c>
      <c r="E24" s="496" t="e">
        <f aca="false">IF(D24="",0,VLOOKUP(D24,D$22:D23,1,0))</f>
        <v>#N/A</v>
      </c>
      <c r="F24" s="497" t="n">
        <f aca="false">($B24*$B$7+$C24*$C$7)/100</f>
        <v>0.00449999989941716</v>
      </c>
      <c r="G24" s="479" t="str">
        <f aca="false">IF(A24="","",IF(ISERROR(VLOOKUP($A24,'liste reference'!$A$7:$P$904,13,0)),IF(ISERROR(VLOOKUP($A24,'liste reference'!$B$7:$P$904,12,0)),"    -",VLOOKUP($A24,'liste reference'!$B$7:$P$904,12,0)),VLOOKUP($A24,'liste reference'!$A$7:$P$904,13,0)))</f>
        <v>BRm</v>
      </c>
      <c r="H24" s="480" t="n">
        <f aca="false">IF(A24="","x",IF(ISERROR(VLOOKUP($A24,'liste reference'!$A$8:$P$904,14,0)),IF(ISERROR(VLOOKUP($A24,'liste reference'!$B$8:$P$904,13,0)),"x",VLOOKUP($A24,'liste reference'!$B$8:$P$904,13,0)),VLOOKUP($A24,'liste reference'!$A$8:$P$904,14,0)))</f>
        <v>5</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Fontinalis antipyretica</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1310</v>
      </c>
      <c r="Q24" s="486" t="n">
        <f aca="false">IF(ISTEXT(H24),"",(B24*$B$7/100)+(C24*$C$7/100))</f>
        <v>0.00449999989941716</v>
      </c>
      <c r="R24" s="487" t="n">
        <f aca="false">IF(OR(ISTEXT(H24),Q24=0),"",IF(Q24&lt;0.1,1,IF(Q24&lt;1,2,IF(Q24&lt;10,3,IF(Q24&lt;50,4,IF(Q24&gt;=50,5,""))))))</f>
        <v>1</v>
      </c>
      <c r="S24" s="487" t="n">
        <f aca="false">IF(ISERROR(R24*I24),0,R24*I24)</f>
        <v>10</v>
      </c>
      <c r="T24" s="487" t="n">
        <f aca="false">IF(ISERROR(R24*I24*J24),0,R24*I24*J24)</f>
        <v>10</v>
      </c>
      <c r="U24" s="499" t="n">
        <f aca="false">IF(ISERROR(R24*J24),0,R24*J24)</f>
        <v>1</v>
      </c>
      <c r="V24" s="488" t="str">
        <f aca="false">IF(AND(A24="",F24=0),"",IF(F24=0,"Il manque le(s) % de rec. !",""))</f>
        <v/>
      </c>
      <c r="W24" s="489"/>
      <c r="Y24" s="490" t="str">
        <f aca="false">IF(A24="new.cod","NEWCOD",IF(AND((Z24=""),ISTEXT(A24)),A24,IF(Z24="","",INDEX('liste reference'!$A$8:$A$904,Z24))))</f>
        <v>FONANT</v>
      </c>
      <c r="Z24" s="280" t="n">
        <f aca="false">IF(ISERROR(MATCH(A24,'liste reference'!$A$8:$A$904,0)),IF(ISERROR(MATCH(A24,'liste reference'!$B$8:$B$904,0)),"",(MATCH(A24,'liste reference'!$B$8:$B$904,0))),(MATCH(A24,'liste reference'!$A$8:$A$904,0)))</f>
        <v>210</v>
      </c>
      <c r="AA24" s="491"/>
      <c r="AB24" s="492"/>
      <c r="AC24" s="492"/>
      <c r="BB24" s="280" t="n">
        <f aca="false">IF(A24="","",1)</f>
        <v>1</v>
      </c>
    </row>
    <row r="25" customFormat="false" ht="12.75" hidden="false" customHeight="false" outlineLevel="0" collapsed="false">
      <c r="A25" s="493" t="s">
        <v>852</v>
      </c>
      <c r="B25" s="494" t="n">
        <v>0.00999999977648258</v>
      </c>
      <c r="C25" s="495" t="n">
        <v>0</v>
      </c>
      <c r="D25" s="477" t="str">
        <f aca="false">IF(ISERROR(VLOOKUP($A25,'liste reference'!$A$7:$D$904,2,0)),IF(ISERROR(VLOOKUP($A25,'liste reference'!$B$7:$D$904,1,0)),"",VLOOKUP($A25,'liste reference'!$B$7:$D$904,1,0)),VLOOKUP($A25,'liste reference'!$A$7:$D$904,2,0))</f>
        <v>Fissidens crassipes</v>
      </c>
      <c r="E25" s="496" t="e">
        <f aca="false">IF(D25="",0,VLOOKUP(D25,D$22:D24,1,0))</f>
        <v>#N/A</v>
      </c>
      <c r="F25" s="497" t="n">
        <f aca="false">($B25*$B$7+$C25*$C$7)/100</f>
        <v>0.00449999989941716</v>
      </c>
      <c r="G25" s="479" t="str">
        <f aca="false">IF(A25="","",IF(ISERROR(VLOOKUP($A25,'liste reference'!$A$7:$P$904,13,0)),IF(ISERROR(VLOOKUP($A25,'liste reference'!$B$7:$P$904,12,0)),"    -",VLOOKUP($A25,'liste reference'!$B$7:$P$904,12,0)),VLOOKUP($A25,'liste reference'!$A$7:$P$904,13,0)))</f>
        <v>BRm</v>
      </c>
      <c r="H25" s="480" t="n">
        <f aca="false">IF(A25="","x",IF(ISERROR(VLOOKUP($A25,'liste reference'!$A$8:$P$904,14,0)),IF(ISERROR(VLOOKUP($A25,'liste reference'!$B$8:$P$904,13,0)),"x",VLOOKUP($A25,'liste reference'!$B$8:$P$904,13,0)),VLOOKUP($A25,'liste reference'!$A$8:$P$904,14,0)))</f>
        <v>5</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Fissidens crassipes</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1294</v>
      </c>
      <c r="Q25" s="486" t="n">
        <f aca="false">IF(ISTEXT(H25),"",(B25*$B$7/100)+(C25*$C$7/100))</f>
        <v>0.00449999989941716</v>
      </c>
      <c r="R25" s="487" t="n">
        <f aca="false">IF(OR(ISTEXT(H25),Q25=0),"",IF(Q25&lt;0.1,1,IF(Q25&lt;1,2,IF(Q25&lt;10,3,IF(Q25&lt;50,4,IF(Q25&gt;=50,5,""))))))</f>
        <v>1</v>
      </c>
      <c r="S25" s="487" t="n">
        <f aca="false">IF(ISERROR(R25*I25),0,R25*I25)</f>
        <v>12</v>
      </c>
      <c r="T25" s="487" t="n">
        <f aca="false">IF(ISERROR(R25*I25*J25),0,R25*I25*J25)</f>
        <v>24</v>
      </c>
      <c r="U25" s="499" t="n">
        <f aca="false">IF(ISERROR(R25*J25),0,R25*J25)</f>
        <v>2</v>
      </c>
      <c r="V25" s="488" t="str">
        <f aca="false">IF(AND(A25="",F25=0),"",IF(F25=0,"Il manque le(s) % de rec. !",""))</f>
        <v/>
      </c>
      <c r="W25" s="489"/>
      <c r="Y25" s="490" t="str">
        <f aca="false">IF(A25="new.cod","NEWCOD",IF(AND((Z25=""),ISTEXT(A25)),A25,IF(Z25="","",INDEX('liste reference'!$A$8:$A$904,Z25))))</f>
        <v>FISCRA</v>
      </c>
      <c r="Z25" s="280" t="n">
        <f aca="false">IF(ISERROR(MATCH(A25,'liste reference'!$A$8:$A$904,0)),IF(ISERROR(MATCH(A25,'liste reference'!$B$8:$B$904,0)),"",(MATCH(A25,'liste reference'!$B$8:$B$904,0))),(MATCH(A25,'liste reference'!$A$8:$A$904,0)))</f>
        <v>197</v>
      </c>
      <c r="AA25" s="491"/>
      <c r="AB25" s="492"/>
      <c r="AC25" s="492"/>
      <c r="BB25" s="280" t="n">
        <f aca="false">IF(A25="","",1)</f>
        <v>1</v>
      </c>
    </row>
    <row r="26" customFormat="false" ht="12.75" hidden="false" customHeight="false" outlineLevel="0" collapsed="false">
      <c r="A26" s="493" t="s">
        <v>301</v>
      </c>
      <c r="B26" s="494" t="n">
        <v>0.0199999995529652</v>
      </c>
      <c r="C26" s="495" t="n">
        <v>0</v>
      </c>
      <c r="D26" s="477" t="str">
        <f aca="false">IF(ISERROR(VLOOKUP($A26,'liste reference'!$A$7:$D$904,2,0)),IF(ISERROR(VLOOKUP($A26,'liste reference'!$B$7:$D$904,1,0)),"",VLOOKUP($A26,'liste reference'!$B$7:$D$904,1,0)),VLOOKUP($A26,'liste reference'!$A$7:$D$904,2,0))</f>
        <v>Vaucheria sp.</v>
      </c>
      <c r="E26" s="496" t="e">
        <f aca="false">IF(D26="",0,VLOOKUP(D26,D$22:D25,1,0))</f>
        <v>#N/A</v>
      </c>
      <c r="F26" s="497" t="n">
        <f aca="false">($B26*$B$7+$C26*$C$7)/100</f>
        <v>0.00899999979883432</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4</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Vaucheria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6193</v>
      </c>
      <c r="Q26" s="486" t="n">
        <f aca="false">IF(ISTEXT(H26),"",(B26*$B$7/100)+(C26*$C$7/100))</f>
        <v>0.00899999979883432</v>
      </c>
      <c r="R26" s="487" t="n">
        <f aca="false">IF(OR(ISTEXT(H26),Q26=0),"",IF(Q26&lt;0.1,1,IF(Q26&lt;1,2,IF(Q26&lt;10,3,IF(Q26&lt;50,4,IF(Q26&gt;=50,5,""))))))</f>
        <v>1</v>
      </c>
      <c r="S26" s="487" t="n">
        <f aca="false">IF(ISERROR(R26*I26),0,R26*I26)</f>
        <v>4</v>
      </c>
      <c r="T26" s="487" t="n">
        <f aca="false">IF(ISERROR(R26*I26*J26),0,R26*I26*J26)</f>
        <v>4</v>
      </c>
      <c r="U26" s="499" t="n">
        <f aca="false">IF(ISERROR(R26*J26),0,R26*J26)</f>
        <v>1</v>
      </c>
      <c r="V26" s="488" t="str">
        <f aca="false">IF(AND(A26="",F26=0),"",IF(F26=0,"Il manque le(s) % de rec. !",""))</f>
        <v/>
      </c>
      <c r="W26" s="489"/>
      <c r="Y26" s="490" t="str">
        <f aca="false">IF(A26="new.cod","NEWCOD",IF(AND((Z26=""),ISTEXT(A26)),A26,IF(Z26="","",INDEX('liste reference'!$A$8:$A$904,Z26))))</f>
        <v>VAUSPX</v>
      </c>
      <c r="Z26" s="280" t="n">
        <f aca="false">IF(ISERROR(MATCH(A26,'liste reference'!$A$8:$A$904,0)),IF(ISERROR(MATCH(A26,'liste reference'!$B$8:$B$904,0)),"",(MATCH(A26,'liste reference'!$B$8:$B$904,0))),(MATCH(A26,'liste reference'!$A$8:$A$904,0)))</f>
        <v>82</v>
      </c>
      <c r="AA26" s="491"/>
      <c r="AB26" s="492"/>
      <c r="AC26" s="492"/>
      <c r="BB26" s="280" t="n">
        <f aca="false">IF(A26="","",1)</f>
        <v>1</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Le Midour</v>
      </c>
      <c r="B84" s="529" t="str">
        <f aca="false">C3</f>
        <v>Le Midour à Loussous-Débat</v>
      </c>
      <c r="C84" s="530" t="n">
        <f aca="false">A4</f>
        <v>41907</v>
      </c>
      <c r="D84" s="531" t="n">
        <f aca="false">IF(ISERROR(SUM($T$23:$T$82)/SUM($U$23:$U$82)),"",SUM($T$23:$T$82)/SUM($U$23:$U$82))</f>
        <v>8.8</v>
      </c>
      <c r="E84" s="532" t="n">
        <f aca="false">N13</f>
        <v>4</v>
      </c>
      <c r="F84" s="529" t="n">
        <f aca="false">N14</f>
        <v>4</v>
      </c>
      <c r="G84" s="529" t="n">
        <f aca="false">N15</f>
        <v>3</v>
      </c>
      <c r="H84" s="529" t="n">
        <f aca="false">N16</f>
        <v>1</v>
      </c>
      <c r="I84" s="529" t="n">
        <f aca="false">N17</f>
        <v>0</v>
      </c>
      <c r="J84" s="533" t="n">
        <f aca="false">N8</f>
        <v>8</v>
      </c>
      <c r="K84" s="531" t="n">
        <f aca="false">N9</f>
        <v>3.16227766016838</v>
      </c>
      <c r="L84" s="532" t="n">
        <f aca="false">N10</f>
        <v>4</v>
      </c>
      <c r="M84" s="532" t="n">
        <f aca="false">N11</f>
        <v>12</v>
      </c>
      <c r="N84" s="531" t="n">
        <f aca="false">O8</f>
        <v>1.25</v>
      </c>
      <c r="O84" s="531" t="n">
        <f aca="false">O9</f>
        <v>0.433012701892219</v>
      </c>
      <c r="P84" s="532" t="n">
        <f aca="false">O10</f>
        <v>1</v>
      </c>
      <c r="Q84" s="532" t="n">
        <f aca="false">O11</f>
        <v>2</v>
      </c>
      <c r="R84" s="532" t="n">
        <f aca="false">F21</f>
        <v>0.0224999994970858</v>
      </c>
      <c r="S84" s="532" t="n">
        <f aca="false">K11</f>
        <v>0</v>
      </c>
      <c r="T84" s="532" t="n">
        <f aca="false">K12</f>
        <v>2</v>
      </c>
      <c r="U84" s="532" t="n">
        <f aca="false">K13</f>
        <v>2</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12</v>
      </c>
      <c r="T87" s="280"/>
      <c r="U87" s="280"/>
      <c r="V87" s="280"/>
    </row>
    <row r="88" customFormat="false" ht="12.75" hidden="true" customHeight="false" outlineLevel="0" collapsed="false">
      <c r="P88" s="280"/>
      <c r="Q88" s="280" t="s">
        <v>2687</v>
      </c>
      <c r="R88" s="280"/>
      <c r="S88" s="488" t="n">
        <f aca="false">VLOOKUP((S87),($S$23:$U$82),2,0)</f>
        <v>24</v>
      </c>
      <c r="T88" s="280"/>
      <c r="U88" s="280"/>
      <c r="V88" s="280"/>
    </row>
    <row r="89" customFormat="false" ht="12.75" hidden="true" customHeight="false" outlineLevel="0" collapsed="false">
      <c r="Q89" s="280" t="s">
        <v>2688</v>
      </c>
      <c r="R89" s="280"/>
      <c r="S89" s="488" t="n">
        <f aca="false">VLOOKUP((S87),($S$23:$U$82),3,0)</f>
        <v>2</v>
      </c>
      <c r="T89" s="280"/>
    </row>
    <row r="90" customFormat="false" ht="12.75" hidden="false" customHeight="false" outlineLevel="0" collapsed="false">
      <c r="Q90" s="280" t="s">
        <v>2689</v>
      </c>
      <c r="R90" s="280"/>
      <c r="S90" s="538" t="n">
        <f aca="false">IF(ISERROR(SUM($T$23:$T$82)/SUM($U$23:$U$82)),"",(SUM($T$23:$T$82)-S88)/(SUM($U$23:$U$82)-S89))</f>
        <v>6.66666666666667</v>
      </c>
      <c r="T90" s="280"/>
    </row>
    <row r="91" customFormat="false" ht="12.75" hidden="false" customHeight="false" outlineLevel="0" collapsed="false">
      <c r="Q91" s="487" t="s">
        <v>2690</v>
      </c>
      <c r="R91" s="487"/>
      <c r="S91" s="487" t="str">
        <f aca="false">INDEX('liste reference'!$A$8:$A$904,$T$91)</f>
        <v>FISCRA</v>
      </c>
      <c r="T91" s="280" t="n">
        <f aca="false">IF(ISERROR(MATCH($S$93,'liste reference'!$A$8:$A$904,0)),MATCH($S$93,'liste reference'!$B$8:$B$904,0),(MATCH($S$93,'liste reference'!$A$8:$A$904,0)))</f>
        <v>197</v>
      </c>
      <c r="U91" s="527"/>
    </row>
    <row r="92" customFormat="false" ht="12.75" hidden="false" customHeight="false" outlineLevel="0" collapsed="false">
      <c r="Q92" s="280" t="s">
        <v>2691</v>
      </c>
      <c r="R92" s="280"/>
      <c r="S92" s="280" t="n">
        <f aca="false">MATCH(S87,$S$23:$S$82,0)</f>
        <v>3</v>
      </c>
      <c r="T92" s="280"/>
    </row>
    <row r="93" customFormat="false" ht="12.75" hidden="false" customHeight="false" outlineLevel="0" collapsed="false">
      <c r="Q93" s="487" t="s">
        <v>2692</v>
      </c>
      <c r="R93" s="280"/>
      <c r="S93" s="487" t="str">
        <f aca="false">INDEX($A$23:$A$82,$S$92)</f>
        <v>FISCRA</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2693</v>
      </c>
      <c r="B2" s="284"/>
      <c r="C2" s="285" t="s">
        <v>2694</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2695</v>
      </c>
      <c r="B3" s="284"/>
      <c r="C3" s="283" t="s">
        <v>2696</v>
      </c>
      <c r="D3" s="294"/>
      <c r="E3" s="294"/>
      <c r="F3" s="295"/>
      <c r="G3" s="295"/>
      <c r="H3" s="296"/>
      <c r="I3" s="297"/>
      <c r="J3" s="296"/>
      <c r="K3" s="298" t="s">
        <v>2697</v>
      </c>
      <c r="L3" s="299"/>
      <c r="M3" s="300" t="s">
        <v>2616</v>
      </c>
      <c r="N3" s="301"/>
      <c r="O3" s="301"/>
      <c r="P3" s="302"/>
      <c r="Q3" s="280"/>
      <c r="R3" s="280"/>
      <c r="S3" s="280"/>
      <c r="T3" s="280"/>
      <c r="U3" s="280"/>
      <c r="V3" s="280"/>
      <c r="W3" s="292"/>
      <c r="X3" s="293"/>
    </row>
    <row r="4" customFormat="false" ht="13.5" hidden="false" customHeight="false" outlineLevel="0" collapsed="false">
      <c r="A4" s="303" t="s">
        <v>2698</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0</v>
      </c>
      <c r="T87" s="280"/>
      <c r="U87" s="280"/>
      <c r="V87" s="280"/>
    </row>
    <row r="88" customFormat="false" ht="12.75" hidden="true" customHeight="false" outlineLevel="0" collapsed="false">
      <c r="P88" s="280"/>
      <c r="Q88" s="280" t="s">
        <v>2687</v>
      </c>
      <c r="R88" s="280"/>
      <c r="S88" s="488" t="n">
        <f aca="false">VLOOKUP((S87),($S$23:$U$82),2,0)</f>
        <v>0</v>
      </c>
      <c r="T88" s="280"/>
      <c r="U88" s="280"/>
      <c r="V88" s="280"/>
    </row>
    <row r="89" customFormat="false" ht="12.75" hidden="true" customHeight="false" outlineLevel="0" collapsed="false">
      <c r="Q89" s="280" t="s">
        <v>2688</v>
      </c>
      <c r="R89" s="280"/>
      <c r="S89" s="488" t="n">
        <f aca="false">VLOOKUP((S87),($S$23:$U$82),3,0)</f>
        <v>0</v>
      </c>
      <c r="T89" s="280"/>
    </row>
    <row r="90" customFormat="false" ht="12.75" hidden="false" customHeight="false" outlineLevel="0" collapsed="false">
      <c r="Q90" s="280" t="s">
        <v>2689</v>
      </c>
      <c r="R90" s="280"/>
      <c r="S90" s="538" t="str">
        <f aca="false">IF(ISERROR(SUM($T$23:$T$82)/SUM($U$23:$U$82)),"",(SUM($T$23:$T$82)-S88)/(SUM($U$23:$U$82)-S89))</f>
        <v/>
      </c>
      <c r="T90" s="280"/>
    </row>
    <row r="91" customFormat="false" ht="12.75"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2691</v>
      </c>
      <c r="R92" s="280"/>
      <c r="S92" s="280" t="n">
        <f aca="false">MATCH(S87,$S$23:$S$82,0)</f>
        <v>1</v>
      </c>
      <c r="T92" s="280"/>
    </row>
    <row r="93" customFormat="false" ht="12.75" hidden="false" customHeight="false" outlineLevel="0" collapsed="false">
      <c r="Q93" s="487" t="s">
        <v>2692</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2699</v>
      </c>
      <c r="B1" s="549"/>
      <c r="C1" s="549"/>
      <c r="D1" s="549"/>
    </row>
    <row r="2" customFormat="false" ht="15" hidden="false" customHeight="false" outlineLevel="0" collapsed="false">
      <c r="A2" s="550" t="s">
        <v>2700</v>
      </c>
      <c r="B2" s="551"/>
      <c r="C2" s="552"/>
      <c r="D2" s="552"/>
    </row>
    <row r="3" customFormat="false" ht="15.75" hidden="false" customHeight="false" outlineLevel="0" collapsed="false">
      <c r="A3" s="550" t="s">
        <v>2701</v>
      </c>
      <c r="B3" s="551"/>
      <c r="C3" s="552"/>
      <c r="D3" s="553" t="s">
        <v>2702</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2703</v>
      </c>
      <c r="G15" s="571"/>
      <c r="H15" s="572" t="s">
        <v>2704</v>
      </c>
      <c r="I15" s="571"/>
    </row>
    <row r="16" customFormat="false" ht="15" hidden="false" customHeight="false" outlineLevel="0" collapsed="false">
      <c r="A16" s="567" t="s">
        <v>1708</v>
      </c>
      <c r="B16" s="566" t="s">
        <v>1709</v>
      </c>
      <c r="C16" s="568"/>
      <c r="D16" s="569"/>
      <c r="F16" s="573" t="s">
        <v>2705</v>
      </c>
      <c r="G16" s="574"/>
      <c r="H16" s="573" t="s">
        <v>2705</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2706</v>
      </c>
      <c r="G18" s="577"/>
      <c r="H18" s="576" t="s">
        <v>2706</v>
      </c>
      <c r="I18" s="578"/>
    </row>
    <row r="19" customFormat="false" ht="15" hidden="false" customHeight="false" outlineLevel="0" collapsed="false">
      <c r="A19" s="565" t="s">
        <v>1711</v>
      </c>
      <c r="B19" s="566" t="s">
        <v>1712</v>
      </c>
      <c r="C19" s="568"/>
      <c r="D19" s="569"/>
      <c r="F19" s="576" t="s">
        <v>2707</v>
      </c>
      <c r="G19" s="577"/>
      <c r="H19" s="576" t="s">
        <v>2707</v>
      </c>
      <c r="I19" s="578"/>
    </row>
    <row r="20" customFormat="false" ht="15" hidden="false" customHeight="false" outlineLevel="0" collapsed="false">
      <c r="A20" s="567" t="s">
        <v>1714</v>
      </c>
      <c r="B20" s="566" t="s">
        <v>1715</v>
      </c>
      <c r="C20" s="568"/>
      <c r="D20" s="569"/>
      <c r="F20" s="576" t="s">
        <v>2708</v>
      </c>
      <c r="G20" s="577"/>
      <c r="H20" s="576" t="s">
        <v>2708</v>
      </c>
      <c r="I20" s="578"/>
    </row>
    <row r="21" customFormat="false" ht="15" hidden="false" customHeight="false" outlineLevel="0" collapsed="false">
      <c r="A21" s="567" t="s">
        <v>1720</v>
      </c>
      <c r="B21" s="566" t="s">
        <v>1721</v>
      </c>
      <c r="C21" s="568"/>
      <c r="D21" s="569"/>
      <c r="F21" s="576" t="s">
        <v>2709</v>
      </c>
      <c r="G21" s="577"/>
      <c r="H21" s="576" t="s">
        <v>2709</v>
      </c>
      <c r="I21" s="578"/>
    </row>
    <row r="22" customFormat="false" ht="15" hidden="false" customHeight="false" outlineLevel="0" collapsed="false">
      <c r="A22" s="565" t="s">
        <v>1726</v>
      </c>
      <c r="B22" s="566" t="s">
        <v>1727</v>
      </c>
      <c r="C22" s="568"/>
      <c r="D22" s="569"/>
      <c r="F22" s="576" t="s">
        <v>2710</v>
      </c>
      <c r="G22" s="577"/>
      <c r="H22" s="576" t="s">
        <v>2710</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2711</v>
      </c>
      <c r="G24" s="577"/>
      <c r="H24" s="576" t="s">
        <v>2711</v>
      </c>
      <c r="I24" s="578"/>
    </row>
    <row r="25" customFormat="false" ht="15" hidden="false" customHeight="false" outlineLevel="0" collapsed="false">
      <c r="A25" s="565" t="s">
        <v>2133</v>
      </c>
      <c r="B25" s="566" t="s">
        <v>2134</v>
      </c>
      <c r="C25" s="568"/>
      <c r="D25" s="569"/>
      <c r="F25" s="579" t="s">
        <v>2712</v>
      </c>
      <c r="G25" s="580"/>
      <c r="H25" s="579" t="s">
        <v>2712</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2713</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2714</v>
      </c>
    </row>
    <row r="35" customFormat="false" ht="15" hidden="false" customHeight="false" outlineLevel="0" collapsed="false">
      <c r="A35" s="565" t="s">
        <v>52</v>
      </c>
      <c r="B35" s="566" t="s">
        <v>53</v>
      </c>
      <c r="C35" s="568"/>
      <c r="D35" s="569"/>
      <c r="F35" s="583" t="s">
        <v>2715</v>
      </c>
    </row>
    <row r="36" customFormat="false" ht="15" hidden="false" customHeight="false" outlineLevel="0" collapsed="false">
      <c r="A36" s="567" t="s">
        <v>320</v>
      </c>
      <c r="B36" s="566" t="s">
        <v>321</v>
      </c>
      <c r="C36" s="568"/>
      <c r="D36" s="569"/>
      <c r="F36" s="585" t="s">
        <v>2716</v>
      </c>
    </row>
    <row r="37" customFormat="false" ht="15" hidden="false" customHeight="false" outlineLevel="0" collapsed="false">
      <c r="A37" s="565" t="s">
        <v>2142</v>
      </c>
      <c r="B37" s="566" t="s">
        <v>2717</v>
      </c>
      <c r="C37" s="568"/>
      <c r="D37" s="569"/>
      <c r="F37" s="585" t="s">
        <v>2718</v>
      </c>
    </row>
    <row r="38" customFormat="false" ht="15" hidden="false" customHeight="false" outlineLevel="0" collapsed="false">
      <c r="A38" s="565" t="s">
        <v>2145</v>
      </c>
      <c r="B38" s="566" t="s">
        <v>2146</v>
      </c>
      <c r="C38" s="568"/>
      <c r="D38" s="569"/>
      <c r="F38" s="585" t="s">
        <v>2719</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2720</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2721</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2722</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2723</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2724</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2725</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2726</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Leslie Foucrier</cp:lastModifiedBy>
  <cp:lastPrinted>2013-11-13T15:17:03Z</cp:lastPrinted>
  <dcterms:modified xsi:type="dcterms:W3CDTF">2015-02-26T14:07:31Z</dcterms:modified>
  <cp:revision>0</cp:revision>
  <dc:subject/>
  <dc:title>Feuille d'aide au calcul de l'IBMR</dc:title>
</cp:coreProperties>
</file>