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<sst xmlns="http://schemas.openxmlformats.org/spreadsheetml/2006/main" count="161" uniqueCount="95">
  <si>
    <t xml:space="preserve">Relevés floristiques aquatiques - IBMR</t>
  </si>
  <si>
    <t xml:space="preserve">modèle Irstea-GIS</t>
  </si>
  <si>
    <t xml:space="preserve">SAGE</t>
  </si>
  <si>
    <t xml:space="preserve">C.Bernard S.Renahy</t>
  </si>
  <si>
    <t xml:space="preserve">Semine</t>
  </si>
  <si>
    <t xml:space="preserve">Semine à Belleydoux</t>
  </si>
  <si>
    <t xml:space="preserve">06067760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</si>
  <si>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</si>
  <si>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</si>
  <si>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</si>
  <si>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</si>
  <si>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</si>
  <si>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</si>
  <si>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</si>
  <si>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</si>
  <si>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</si>
  <si>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</si>
  <si>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</si>
  <si>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</si>
  <si>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</si>
  <si>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</si>
  <si>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</si>
  <si>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</si>
  <si>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</si>
  <si>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</si>
  <si>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</si>
  <si>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</si>
  <si>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</si>
  <si>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</si>
  <si>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</si>
  <si>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</si>
  <si>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</si>
  <si>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</si>
  <si>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</si>
  <si>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</si>
  <si>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</si>
  <si>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</si>
  <si>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</si>
  <si>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</si>
  <si>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</si>
  <si>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</si>
  <si>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</si>
  <si>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</si>
  <si>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</si>
  <si>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</si>
  <si>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</si>
  <si>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</si>
  <si>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</si>
  <si>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</si>
  <si>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</si>
  <si>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</si>
  <si>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</si>
  <si>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</si>
  <si>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</si>
  <si>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</si>
  <si>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</si>
  <si>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</si>
  <si>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</si>
  <si>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</si>
  <si>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</si>
  <si>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</si>
  <si>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</si>
  <si>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</si>
  <si>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</si>
  <si>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</si>
  <si>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</si>
  <si>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</si>
  <si>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</si>
  <si>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</si>
  <si>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</si>
  <si>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</si>
  <si>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</si>
  <si>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</si>
  <si>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</si>
  <si>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</si>
  <si>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</si>
  <si>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</si>
  <si>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</si>
  <si>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</si>
  <si>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</si>
  <si>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</si>
  <si>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LEASPX</t>
  </si>
  <si>
    <t xml:space="preserve">MELSPX</t>
  </si>
  <si>
    <t xml:space="preserve">ULOSPX</t>
  </si>
  <si>
    <t xml:space="preserve">CINAQU</t>
  </si>
  <si>
    <t xml:space="preserve">FONANT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</si>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</sst>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SEBEL_30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12</v>
      </c>
      <c r="N5" s="51"/>
      <c r="O5" s="52" t="s">
        <v>16</v>
      </c>
      <c r="P5" s="53" t="n">
        <v>12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80</v>
      </c>
      <c r="C7" s="69" t="n">
        <v>20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11.25</v>
      </c>
      <c r="P8" s="83" t="n">
        <f aca="false">IF(ISERROR(AVERAGE(K23:K82)),"  ",AVERAGE(K23:K82))</f>
        <v>1.375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0.73</v>
      </c>
      <c r="C9" s="86" t="n">
        <v>7.62</v>
      </c>
      <c r="D9" s="87"/>
      <c r="E9" s="87"/>
      <c r="F9" s="88" t="n">
        <f aca="false">($B9*$B$7+$C9*$C$7)/100</f>
        <v>2.108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2.77263412660235</v>
      </c>
      <c r="P9" s="83" t="n">
        <f aca="false">IF(ISERROR(STDEVP(K23:K82)),"  ",STDEVP(K23:K82))</f>
        <v>0.484122918275927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0.11</v>
      </c>
      <c r="C12" s="111" t="n">
        <v>5.31</v>
      </c>
      <c r="D12" s="87"/>
      <c r="E12" s="87"/>
      <c r="F12" s="104" t="n">
        <f aca="false">($B12*$B$7+$C12*$C$7)/100</f>
        <v>1.15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5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0.62</v>
      </c>
      <c r="C13" s="111" t="n">
        <v>2.31</v>
      </c>
      <c r="D13" s="87"/>
      <c r="E13" s="87"/>
      <c r="F13" s="104" t="n">
        <f aca="false">($B13*$B$7+$C13*$C$7)/100</f>
        <v>0.958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3</v>
      </c>
      <c r="M13" s="108"/>
      <c r="N13" s="116" t="s">
        <v>41</v>
      </c>
      <c r="O13" s="117" t="n">
        <f aca="false">COUNTIF(F23:F82,"&gt;0")</f>
        <v>8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8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5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3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0.73</v>
      </c>
      <c r="C17" s="111" t="n">
        <v>7.62</v>
      </c>
      <c r="D17" s="87"/>
      <c r="E17" s="87"/>
      <c r="F17" s="129"/>
      <c r="G17" s="130" t="n">
        <f aca="false">($B17*$B$7+$C17*$C$7)/100</f>
        <v>2.108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2.108</v>
      </c>
      <c r="G19" s="150" t="n">
        <f aca="false">SUM(G16:G18)</f>
        <v>2.108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0.73</v>
      </c>
      <c r="C20" s="160" t="n">
        <f aca="false">SUM(C23:C62)</f>
        <v>7.62</v>
      </c>
      <c r="D20" s="161"/>
      <c r="E20" s="162" t="s">
        <v>54</v>
      </c>
      <c r="F20" s="163" t="n">
        <f aca="false">($B20*$B$7+$C20*$C$7)/100</f>
        <v>2.108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0.584</v>
      </c>
      <c r="C21" s="171" t="n">
        <f aca="false">C20*C7/100</f>
        <v>1.524</v>
      </c>
      <c r="D21" s="172" t="s">
        <v>57</v>
      </c>
      <c r="E21" s="173"/>
      <c r="F21" s="174" t="n">
        <f aca="false">B21+C21</f>
        <v>2.108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0.1</v>
      </c>
      <c r="C23" s="200" t="n">
        <v>0.01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0.082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0.082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16</v>
      </c>
      <c r="B24" s="217" t="n">
        <v>0</v>
      </c>
      <c r="C24" s="218" t="n">
        <v>5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Diatoma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Diatoma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6627</v>
      </c>
      <c r="R24" s="211" t="n">
        <f aca="false">IF(ISTEXT(H24),"",(B24*$B$7/100)+(C24*$C$7/100))</f>
        <v>1</v>
      </c>
      <c r="S24" s="212" t="n">
        <f aca="false">IF(OR(ISTEXT(H24),R24=0),"",IF(R24&lt;0.1,1,IF(R24&lt;1,2,IF(R24&lt;10,3,IF(R24&lt;50,4,IF(R24&gt;=50,5,""))))))</f>
        <v>3</v>
      </c>
      <c r="T24" s="212" t="n">
        <f aca="false">IF(ISERROR(S24*J24),0,S24*J24)</f>
        <v>36</v>
      </c>
      <c r="U24" s="212" t="n">
        <f aca="false">IF(ISERROR(S24*J24*K24),0,S24*J24*K24)</f>
        <v>72</v>
      </c>
      <c r="V24" s="228" t="n">
        <f aca="false">IF(ISERROR(S24*K24),0,S24*K24)</f>
        <v>6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DIASPX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40</v>
      </c>
    </row>
    <row r="25" customFormat="false" ht="12.75" hidden="false" customHeight="false" outlineLevel="0" collapsed="false">
      <c r="A25" s="216" t="s">
        <v>81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Lemanea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0.008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Lemanea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1159</v>
      </c>
      <c r="R25" s="211" t="n">
        <f aca="false">IF(ISTEXT(H25),"",(B25*$B$7/100)+(C25*$C$7/100))</f>
        <v>0.008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15</v>
      </c>
      <c r="U25" s="212" t="n">
        <f aca="false">IF(ISERROR(S25*J25*K25),0,S25*J25*K25)</f>
        <v>30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LEASPX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59</v>
      </c>
    </row>
    <row r="26" customFormat="false" ht="12.75" hidden="false" customHeight="false" outlineLevel="0" collapsed="false">
      <c r="A26" s="216" t="s">
        <v>82</v>
      </c>
      <c r="B26" s="217" t="n">
        <v>0</v>
      </c>
      <c r="C26" s="218" t="n">
        <v>0.1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Melosira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0.02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Melosira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8714</v>
      </c>
      <c r="R26" s="211" t="n">
        <f aca="false">IF(ISTEXT(H26),"",(B26*$B$7/100)+(C26*$C$7/100))</f>
        <v>0.02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10</v>
      </c>
      <c r="U26" s="212" t="n">
        <f aca="false">IF(ISERROR(S26*J26*K26),0,S26*J26*K26)</f>
        <v>10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MELSPX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62</v>
      </c>
    </row>
    <row r="27" customFormat="false" ht="12.75" hidden="false" customHeight="false" outlineLevel="0" collapsed="false">
      <c r="A27" s="216" t="s">
        <v>83</v>
      </c>
      <c r="B27" s="217" t="n">
        <v>0</v>
      </c>
      <c r="C27" s="218" t="n">
        <v>0.2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Ulothrix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0.04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Ulothrix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1142</v>
      </c>
      <c r="R27" s="211" t="n">
        <f aca="false">IF(ISTEXT(H27),"",(B27*$B$7/100)+(C27*$C$7/100))</f>
        <v>0.04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10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ULOSPX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116</v>
      </c>
    </row>
    <row r="28" customFormat="false" ht="12.75" hidden="false" customHeight="false" outlineLevel="0" collapsed="false">
      <c r="A28" s="216" t="s">
        <v>84</v>
      </c>
      <c r="B28" s="217" t="n">
        <v>0.01</v>
      </c>
      <c r="C28" s="218" t="n">
        <v>0.01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Cinclidotus aquaticus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0.01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15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Cinclidotus aquaticus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1318</v>
      </c>
      <c r="R28" s="211" t="n">
        <f aca="false">IF(ISTEXT(H28),"",(B28*$B$7/100)+(C28*$C$7/100))</f>
        <v>0.01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15</v>
      </c>
      <c r="U28" s="212" t="n">
        <f aca="false">IF(ISERROR(S28*J28*K28),0,S28*J28*K28)</f>
        <v>30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CINAQU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221</v>
      </c>
    </row>
    <row r="29" customFormat="false" ht="12.75" hidden="false" customHeight="false" outlineLevel="0" collapsed="false">
      <c r="A29" s="216" t="s">
        <v>85</v>
      </c>
      <c r="B29" s="217" t="n">
        <v>0.01</v>
      </c>
      <c r="C29" s="218" t="n">
        <v>0.3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Fontinalis antipyretica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0.068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Fontinalis antipyretica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1310</v>
      </c>
      <c r="R29" s="211" t="n">
        <f aca="false">IF(ISTEXT(H29),"",(B29*$B$7/100)+(C29*$C$7/100))</f>
        <v>0.068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10</v>
      </c>
      <c r="U29" s="212" t="n">
        <f aca="false">IF(ISERROR(S29*J29*K29),0,S29*J29*K29)</f>
        <v>10</v>
      </c>
      <c r="V29" s="228" t="n">
        <f aca="false">IF(ISERROR(S29*K29),0,S29*K29)</f>
        <v>1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FONANT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273</v>
      </c>
    </row>
    <row r="30" customFormat="false" ht="12.75" hidden="false" customHeight="false" outlineLevel="0" collapsed="false">
      <c r="A30" s="216" t="s">
        <v>86</v>
      </c>
      <c r="B30" s="217" t="n">
        <v>0.6</v>
      </c>
      <c r="C30" s="218" t="n">
        <v>2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Rhynchostegium riparioides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0.88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12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Rhynchostegium riparioides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31691</v>
      </c>
      <c r="R30" s="211" t="n">
        <f aca="false">IF(ISTEXT(H30),"",(B30*$B$7/100)+(C30*$C$7/100))</f>
        <v>0.88</v>
      </c>
      <c r="S30" s="212" t="n">
        <f aca="false">IF(OR(ISTEXT(H30),R30=0),"",IF(R30&lt;0.1,1,IF(R30&lt;1,2,IF(R30&lt;10,3,IF(R30&lt;50,4,IF(R30&gt;=50,5,""))))))</f>
        <v>2</v>
      </c>
      <c r="T30" s="212" t="n">
        <f aca="false">IF(ISERROR(S30*J30),0,S30*J30)</f>
        <v>24</v>
      </c>
      <c r="U30" s="212" t="n">
        <f aca="false">IF(ISERROR(S30*J30*K30),0,S30*J30*K30)</f>
        <v>24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RHYRIP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345</v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80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80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2.108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16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Semine</v>
      </c>
      <c r="B84" s="180" t="str">
        <f aca="false">C3</f>
        <v>Semine à Belleydoux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12</v>
      </c>
      <c r="E84" s="254" t="n">
        <f aca="false">O13</f>
        <v>8</v>
      </c>
      <c r="F84" s="180" t="n">
        <f aca="false">O14</f>
        <v>8</v>
      </c>
      <c r="G84" s="180" t="n">
        <f aca="false">O15</f>
        <v>5</v>
      </c>
      <c r="H84" s="180" t="n">
        <f aca="false">O16</f>
        <v>3</v>
      </c>
      <c r="I84" s="180" t="n">
        <f aca="false">O17</f>
        <v>0</v>
      </c>
      <c r="J84" s="255" t="n">
        <f aca="false">O8</f>
        <v>11.25</v>
      </c>
      <c r="K84" s="256" t="n">
        <f aca="false">O9</f>
        <v>2.77263412660235</v>
      </c>
      <c r="L84" s="257" t="n">
        <f aca="false">O10</f>
        <v>6</v>
      </c>
      <c r="M84" s="257" t="n">
        <f aca="false">O11</f>
        <v>15</v>
      </c>
      <c r="N84" s="256" t="n">
        <f aca="false">P8</f>
        <v>1.375</v>
      </c>
      <c r="O84" s="256" t="n">
        <f aca="false">P9</f>
        <v>0.484122918275927</v>
      </c>
      <c r="P84" s="257" t="n">
        <f aca="false">P10</f>
        <v>1</v>
      </c>
      <c r="Q84" s="257" t="n">
        <f aca="false">P11</f>
        <v>2</v>
      </c>
      <c r="R84" s="257" t="n">
        <f aca="false">F21</f>
        <v>2.108</v>
      </c>
      <c r="S84" s="257" t="n">
        <f aca="false">L11</f>
        <v>0</v>
      </c>
      <c r="T84" s="257" t="n">
        <f aca="false">L12</f>
        <v>5</v>
      </c>
      <c r="U84" s="257" t="n">
        <f aca="false">L13</f>
        <v>3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87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88</v>
      </c>
      <c r="S87" s="8"/>
      <c r="T87" s="263" t="n">
        <f aca="false">VLOOKUP($T$91,($A$23:$U$82),20,FALSE())</f>
        <v>36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89</v>
      </c>
      <c r="S88" s="8"/>
      <c r="T88" s="263" t="n">
        <f aca="false">VLOOKUP($T$91,($A$23:$U$82),21,FALSE())</f>
        <v>72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90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91</v>
      </c>
      <c r="S90" s="8" t="s">
        <v>10</v>
      </c>
      <c r="T90" s="264" t="n">
        <f aca="false">IF(OR(ISERROR(SUM($U$23:$U$82)/SUM($V$23:$V$82)),F7&lt;&gt;100),-1,(SUM($U$23:$U$82)-T88)/(SUM($V$23:$V$82)-T89))</f>
        <v>12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92</v>
      </c>
      <c r="S91" s="212"/>
      <c r="T91" s="212" t="str">
        <f aca="false">INDEX('[1]liste reference'!$A$6:$A$1174,$U$91)</f>
        <v>DIASPX</v>
      </c>
      <c r="U91" s="8" t="n">
        <f aca="false">IF(ISERROR(MATCH($T$93,'[1]liste reference'!$A$6:$A$1174,0)),MATCH($T$93,'[1]liste reference'!$B$6:$B$1174,0),(MATCH($T$93,'[1]liste reference'!$A$6:$A$1174,0)))</f>
        <v>40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93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94</v>
      </c>
      <c r="S93" s="8"/>
      <c r="T93" s="212" t="str">
        <f aca="false">INDEX($A$23:$A$82,$T$92)</f>
        <v>DIASPX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2016-04-06T14:53:46Z</dcterms:created>
  <dc:creator>laurianne isebe</dc:creator>
  <dc:description/>
  <dc:language>fr-FR</dc:language>
  <cp:lastModifiedBy>laurianne isebe</cp:lastModifiedBy>
  <dcterms:modified xsi:type="dcterms:W3CDTF">2016-04-06T14:53:49Z</dcterms:modified>
  <cp:revision>0</cp:revision>
  <dc:subject/>
  <dc:title/>
</cp:coreProperties>
</file>