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<sst xmlns="http://schemas.openxmlformats.org/spreadsheetml/2006/main" count="168" uniqueCount="102">
  <si>
    <t xml:space="preserve">Relevés floristiques aquatiques - IBMR</t>
  </si>
  <si>
    <t xml:space="preserve">modèle Irstea-GIS</t>
  </si>
  <si>
    <t xml:space="preserve">SAGE ENVIRONNEMENT</t>
  </si>
  <si>
    <t xml:space="preserve">RENAHY SIMON MARION SCHNEIDER</t>
  </si>
  <si>
    <t xml:space="preserve">RHONE </t>
  </si>
  <si>
    <t xml:space="preserve">RHONE A MASSIGNEUX</t>
  </si>
  <si>
    <t xml:space="preserve">06069550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</si>
  <si>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</si>
  <si>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</si>
  <si>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</si>
  <si>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</si>
  <si>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</si>
  <si>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</si>
  <si>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</si>
  <si>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</si>
  <si>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</si>
  <si>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</si>
  <si>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</si>
  <si>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</si>
  <si>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</si>
  <si>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</si>
  <si>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</si>
  <si>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</si>
  <si>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</si>
  <si>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</si>
  <si>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</si>
  <si>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</si>
  <si>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</si>
  <si>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</si>
  <si>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</si>
  <si>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</si>
  <si>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</si>
  <si>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</si>
  <si>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</si>
  <si>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</si>
  <si>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</si>
  <si>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</si>
  <si>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</si>
  <si>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</si>
  <si>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</si>
  <si>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</si>
  <si>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</si>
  <si>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</si>
  <si>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</si>
  <si>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</si>
  <si>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</si>
  <si>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</si>
  <si>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</si>
  <si>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</si>
  <si>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</si>
  <si>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</si>
  <si>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</si>
  <si>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</si>
  <si>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</si>
  <si>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</si>
  <si>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</si>
  <si>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</si>
  <si>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</si>
  <si>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</si>
  <si>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</si>
  <si>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</si>
  <si>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</si>
  <si>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</si>
  <si>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</si>
  <si>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</si>
  <si>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</si>
  <si>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</si>
  <si>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</si>
  <si>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</si>
  <si>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</si>
  <si>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</si>
  <si>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</si>
  <si>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</si>
  <si>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</si>
  <si>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</si>
  <si>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</si>
  <si>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</si>
  <si>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</si>
  <si>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</si>
  <si>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</si>
  <si>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</si>
  <si>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MOUSPX</t>
  </si>
  <si>
    <t xml:space="preserve">OEDSPX</t>
  </si>
  <si>
    <t xml:space="preserve">OSCSPX</t>
  </si>
  <si>
    <t xml:space="preserve">PHOSPX</t>
  </si>
  <si>
    <t xml:space="preserve">SPISPX</t>
  </si>
  <si>
    <t xml:space="preserve">ULOSPX</t>
  </si>
  <si>
    <t xml:space="preserve">HYAFLU</t>
  </si>
  <si>
    <t xml:space="preserve">CERDEM</t>
  </si>
  <si>
    <t xml:space="preserve">ELONUT</t>
  </si>
  <si>
    <t xml:space="preserve">POTCRI</t>
  </si>
  <si>
    <t xml:space="preserve">POTNOD</t>
  </si>
  <si>
    <t xml:space="preserve">POTPEC</t>
  </si>
  <si>
    <t xml:space="preserve">RANFLU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</si>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</sst>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RHOMA_03-09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42250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7.41025641025641</v>
      </c>
      <c r="N5" s="51"/>
      <c r="O5" s="52" t="s">
        <v>16</v>
      </c>
      <c r="P5" s="53" t="n">
        <v>7.3030303030303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2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12</v>
      </c>
      <c r="C7" s="69" t="n">
        <v>88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8.26666666666667</v>
      </c>
      <c r="P8" s="83" t="n">
        <f aca="false">IF(ISERROR(AVERAGE(K23:K82)),"  ",AVERAGE(K23:K82))</f>
        <v>1.8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15.83</v>
      </c>
      <c r="C9" s="86" t="n">
        <v>2.35</v>
      </c>
      <c r="D9" s="87"/>
      <c r="E9" s="87"/>
      <c r="F9" s="88" t="n">
        <f aca="false">($B9*$B$7+$C9*$C$7)/100</f>
        <v>3.9676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3.15101394615906</v>
      </c>
      <c r="P9" s="83" t="n">
        <f aca="false">IF(ISERROR(STDEVP(K23:K82)),"  ",STDEVP(K23:K82))</f>
        <v>0.541602560309064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2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13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5.13</v>
      </c>
      <c r="C12" s="111" t="n">
        <v>0.18</v>
      </c>
      <c r="D12" s="87"/>
      <c r="E12" s="87"/>
      <c r="F12" s="104" t="n">
        <f aca="false">($B12*$B$7+$C12*$C$7)/100</f>
        <v>0.774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7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/>
      <c r="C13" s="111" t="n">
        <v>0.0003</v>
      </c>
      <c r="D13" s="87"/>
      <c r="E13" s="87"/>
      <c r="F13" s="104" t="n">
        <f aca="false">($B13*$B$7+$C13*$C$7)/100</f>
        <v>0.000264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1</v>
      </c>
      <c r="M13" s="108"/>
      <c r="N13" s="116" t="s">
        <v>41</v>
      </c>
      <c r="O13" s="117" t="n">
        <f aca="false">COUNTIF(F23:F82,"&gt;0")</f>
        <v>15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15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 t="n">
        <v>10.7</v>
      </c>
      <c r="C15" s="124" t="n">
        <v>2.16</v>
      </c>
      <c r="D15" s="87"/>
      <c r="E15" s="87"/>
      <c r="F15" s="104" t="n">
        <f aca="false">($B15*$B$7+$C15*$C$7)/100</f>
        <v>3.1848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7</v>
      </c>
      <c r="M15" s="108"/>
      <c r="N15" s="116" t="s">
        <v>47</v>
      </c>
      <c r="O15" s="117" t="n">
        <f aca="false">COUNTIF(K23:K82,"=1")</f>
        <v>4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 t="n">
        <v>10.7</v>
      </c>
      <c r="C16" s="103"/>
      <c r="D16" s="87"/>
      <c r="E16" s="87"/>
      <c r="F16" s="125"/>
      <c r="G16" s="126" t="n">
        <f aca="false">($B16*$B$7+$C16*$C$7)/100</f>
        <v>1.284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10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5.13</v>
      </c>
      <c r="C17" s="111" t="n">
        <v>0.18</v>
      </c>
      <c r="D17" s="87"/>
      <c r="E17" s="87"/>
      <c r="F17" s="129"/>
      <c r="G17" s="130" t="n">
        <f aca="false">($B17*$B$7+$C17*$C$7)/100</f>
        <v>0.774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1</v>
      </c>
      <c r="N17" s="116" t="s">
        <v>52</v>
      </c>
      <c r="O17" s="117" t="n">
        <f aca="false">COUNTIF(K23:K82,"=3")</f>
        <v>1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 t="n">
        <v>2.16</v>
      </c>
      <c r="D18" s="87"/>
      <c r="E18" s="139" t="s">
        <v>54</v>
      </c>
      <c r="F18" s="129"/>
      <c r="G18" s="130" t="n">
        <f aca="false">($B18*$B$7+$C18*$C$7)/100</f>
        <v>1.9008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3.959064</v>
      </c>
      <c r="G19" s="150" t="n">
        <f aca="false">SUM(G16:G18)</f>
        <v>3.9588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15.83</v>
      </c>
      <c r="C20" s="160" t="n">
        <f aca="false">SUM(C23:C62)</f>
        <v>2.34658675799087</v>
      </c>
      <c r="D20" s="161"/>
      <c r="E20" s="162" t="s">
        <v>54</v>
      </c>
      <c r="F20" s="163" t="n">
        <f aca="false">($B20*$B$7+$C20*$C$7)/100</f>
        <v>3.96459634703196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1.8996</v>
      </c>
      <c r="C21" s="171" t="n">
        <f aca="false">C20*C7/100</f>
        <v>2.06499634703196</v>
      </c>
      <c r="D21" s="172" t="s">
        <v>57</v>
      </c>
      <c r="E21" s="173"/>
      <c r="F21" s="174" t="n">
        <f aca="false">B21+C21</f>
        <v>3.96459634703196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4.86</v>
      </c>
      <c r="C23" s="200" t="n">
        <v>0.173401826484018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0.735793607305936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0.735793607305936</v>
      </c>
      <c r="S23" s="212" t="n">
        <f aca="false">IF(OR(ISTEXT(H23),R23=0),"",IF(R23&lt;0.1,1,IF(R23&lt;1,2,IF(R23&lt;10,3,IF(R23&lt;50,4,IF(R23&gt;=50,5,""))))))</f>
        <v>2</v>
      </c>
      <c r="T23" s="212" t="n">
        <f aca="false">IF(ISERROR(S23*J23),0,S23*J23)</f>
        <v>12</v>
      </c>
      <c r="U23" s="212" t="n">
        <f aca="false">IF(ISERROR(S23*J23*K23),0,S23*J23*K23)</f>
        <v>12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81</v>
      </c>
      <c r="B24" s="217" t="n">
        <v>0.01</v>
      </c>
      <c r="C24" s="218" t="n">
        <v>0.00176940639269406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Mougeotia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0.00275707762557078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13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Mougeotia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1146</v>
      </c>
      <c r="R24" s="211" t="n">
        <f aca="false">IF(ISTEXT(H24),"",(B24*$B$7/100)+(C24*$C$7/100))</f>
        <v>0.00275707762557078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13</v>
      </c>
      <c r="U24" s="212" t="n">
        <f aca="false">IF(ISERROR(S24*J24*K24),0,S24*J24*K24)</f>
        <v>26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MOUSPX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68</v>
      </c>
    </row>
    <row r="25" customFormat="false" ht="12.75" hidden="false" customHeight="false" outlineLevel="0" collapsed="false">
      <c r="A25" s="216" t="s">
        <v>82</v>
      </c>
      <c r="B25" s="217" t="n">
        <v>0.05</v>
      </c>
      <c r="C25" s="218" t="n">
        <v>0.00212328767123288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Oedogonium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0.00786849315068493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6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Oedogonium sp.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1134</v>
      </c>
      <c r="R25" s="211" t="n">
        <f aca="false">IF(ISTEXT(H25),"",(B25*$B$7/100)+(C25*$C$7/100))</f>
        <v>0.00786849315068493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6</v>
      </c>
      <c r="U25" s="212" t="n">
        <f aca="false">IF(ISERROR(S25*J25*K25),0,S25*J25*K25)</f>
        <v>12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OEDSPX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85</v>
      </c>
    </row>
    <row r="26" customFormat="false" ht="12.75" hidden="false" customHeight="false" outlineLevel="0" collapsed="false">
      <c r="A26" s="216" t="s">
        <v>83</v>
      </c>
      <c r="B26" s="217" t="n">
        <v>0</v>
      </c>
      <c r="C26" s="218" t="n">
        <v>0.00353881278538813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Oscillatoria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0.00311415525114155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11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Oscillatoria sp.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1108</v>
      </c>
      <c r="R26" s="211" t="n">
        <f aca="false">IF(ISTEXT(H26),"",(B26*$B$7/100)+(C26*$C$7/100))</f>
        <v>0.00311415525114155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11</v>
      </c>
      <c r="U26" s="212" t="n">
        <f aca="false">IF(ISERROR(S26*J26*K26),0,S26*J26*K26)</f>
        <v>11</v>
      </c>
      <c r="V26" s="228" t="n">
        <f aca="false">IF(ISERROR(S26*K26),0,S26*K26)</f>
        <v>1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OSCSPX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86</v>
      </c>
    </row>
    <row r="27" customFormat="false" ht="12.75" hidden="false" customHeight="false" outlineLevel="0" collapsed="false">
      <c r="A27" s="216" t="s">
        <v>84</v>
      </c>
      <c r="B27" s="217" t="n">
        <v>0</v>
      </c>
      <c r="C27" s="218" t="n">
        <v>0.000353881278538813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Phormidium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0.000311415525114155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13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Phormidium sp.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6414</v>
      </c>
      <c r="R27" s="211" t="n">
        <f aca="false">IF(ISTEXT(H27),"",(B27*$B$7/100)+(C27*$C$7/100))</f>
        <v>0.000311415525114155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13</v>
      </c>
      <c r="U27" s="212" t="n">
        <f aca="false">IF(ISERROR(S27*J27*K27),0,S27*J27*K27)</f>
        <v>26</v>
      </c>
      <c r="V27" s="228" t="n">
        <f aca="false">IF(ISERROR(S27*K27),0,S27*K27)</f>
        <v>2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PHOSPX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88</v>
      </c>
    </row>
    <row r="28" customFormat="false" ht="12.75" hidden="false" customHeight="false" outlineLevel="0" collapsed="false">
      <c r="A28" s="216" t="s">
        <v>85</v>
      </c>
      <c r="B28" s="217" t="n">
        <v>0.16</v>
      </c>
      <c r="C28" s="218" t="n">
        <v>0.000353881278538813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Spirogyra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0.0195114155251142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10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Spirogyra sp.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1147</v>
      </c>
      <c r="R28" s="211" t="n">
        <f aca="false">IF(ISTEXT(H28),"",(B28*$B$7/100)+(C28*$C$7/100))</f>
        <v>0.0195114155251142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10</v>
      </c>
      <c r="U28" s="212" t="n">
        <f aca="false">IF(ISERROR(S28*J28*K28),0,S28*J28*K28)</f>
        <v>10</v>
      </c>
      <c r="V28" s="228" t="n">
        <f aca="false">IF(ISERROR(S28*K28),0,S28*K28)</f>
        <v>1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SPISPX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102</v>
      </c>
    </row>
    <row r="29" customFormat="false" ht="12.75" hidden="false" customHeight="false" outlineLevel="0" collapsed="false">
      <c r="A29" s="216" t="s">
        <v>86</v>
      </c>
      <c r="B29" s="217" t="n">
        <v>0.05</v>
      </c>
      <c r="C29" s="218" t="n">
        <v>0.00176940639269406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Ulothrix sp.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0.00755707762557078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ALG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2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10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1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Ulothrix sp.</v>
      </c>
      <c r="M29" s="225"/>
      <c r="N29" s="225"/>
      <c r="O29" s="225"/>
      <c r="P29" s="226" t="s">
        <v>80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1142</v>
      </c>
      <c r="R29" s="211" t="n">
        <f aca="false">IF(ISTEXT(H29),"",(B29*$B$7/100)+(C29*$C$7/100))</f>
        <v>0.00755707762557078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10</v>
      </c>
      <c r="U29" s="212" t="n">
        <f aca="false">IF(ISERROR(S29*J29*K29),0,S29*J29*K29)</f>
        <v>10</v>
      </c>
      <c r="V29" s="228" t="n">
        <f aca="false">IF(ISERROR(S29*K29),0,S29*K29)</f>
        <v>1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ULOSPX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116</v>
      </c>
    </row>
    <row r="30" customFormat="false" ht="12.75" hidden="false" customHeight="false" outlineLevel="0" collapsed="false">
      <c r="A30" s="216" t="s">
        <v>87</v>
      </c>
      <c r="B30" s="217" t="n">
        <v>0</v>
      </c>
      <c r="C30" s="218" t="n">
        <v>0.000353881278538813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Hygroamblystegium fluviatile 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0.000311415525114155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BRm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5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11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2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Hygroamblystegium fluviatile </v>
      </c>
      <c r="M30" s="225"/>
      <c r="N30" s="225"/>
      <c r="O30" s="225"/>
      <c r="P30" s="226" t="s">
        <v>80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1237</v>
      </c>
      <c r="R30" s="211" t="n">
        <f aca="false">IF(ISTEXT(H30),"",(B30*$B$7/100)+(C30*$C$7/100))</f>
        <v>0.000311415525114155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11</v>
      </c>
      <c r="U30" s="212" t="n">
        <f aca="false">IF(ISERROR(S30*J30*K30),0,S30*J30*K30)</f>
        <v>22</v>
      </c>
      <c r="V30" s="228" t="n">
        <f aca="false">IF(ISERROR(S30*K30),0,S30*K30)</f>
        <v>2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HYAFLU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281</v>
      </c>
    </row>
    <row r="31" customFormat="false" ht="12.75" hidden="false" customHeight="false" outlineLevel="0" collapsed="false">
      <c r="A31" s="216" t="s">
        <v>88</v>
      </c>
      <c r="B31" s="217" t="n">
        <v>0</v>
      </c>
      <c r="C31" s="218" t="n">
        <v>0.000353881278538813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Ceratophyllum demersum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0.000311415525114155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PHy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7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5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2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Ceratophyllum demersum</v>
      </c>
      <c r="M31" s="225"/>
      <c r="N31" s="225"/>
      <c r="O31" s="225"/>
      <c r="P31" s="226" t="s">
        <v>80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1717</v>
      </c>
      <c r="R31" s="211" t="n">
        <f aca="false">IF(ISTEXT(H31),"",(B31*$B$7/100)+(C31*$C$7/100))</f>
        <v>0.000311415525114155</v>
      </c>
      <c r="S31" s="212" t="n">
        <f aca="false">IF(OR(ISTEXT(H31),R31=0),"",IF(R31&lt;0.1,1,IF(R31&lt;1,2,IF(R31&lt;10,3,IF(R31&lt;50,4,IF(R31&gt;=50,5,""))))))</f>
        <v>1</v>
      </c>
      <c r="T31" s="212" t="n">
        <f aca="false">IF(ISERROR(S31*J31),0,S31*J31)</f>
        <v>5</v>
      </c>
      <c r="U31" s="212" t="n">
        <f aca="false">IF(ISERROR(S31*J31*K31),0,S31*J31*K31)</f>
        <v>10</v>
      </c>
      <c r="V31" s="228" t="n">
        <f aca="false">IF(ISERROR(S31*K31),0,S31*K31)</f>
        <v>2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CERDEM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445</v>
      </c>
    </row>
    <row r="32" customFormat="false" ht="12.75" hidden="false" customHeight="false" outlineLevel="0" collapsed="false">
      <c r="A32" s="216" t="s">
        <v>89</v>
      </c>
      <c r="B32" s="217" t="n">
        <v>0.5</v>
      </c>
      <c r="C32" s="218" t="n">
        <v>0.0176940639269406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Elodea nuttallii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0.0755707762557078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PHy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7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8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2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Elodea nuttallii</v>
      </c>
      <c r="M32" s="225"/>
      <c r="N32" s="225"/>
      <c r="O32" s="225"/>
      <c r="P32" s="226" t="s">
        <v>80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1588</v>
      </c>
      <c r="R32" s="211" t="n">
        <f aca="false">IF(ISTEXT(H32),"",(B32*$B$7/100)+(C32*$C$7/100))</f>
        <v>0.0755707762557078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8</v>
      </c>
      <c r="U32" s="212" t="n">
        <f aca="false">IF(ISERROR(S32*J32*K32),0,S32*J32*K32)</f>
        <v>16</v>
      </c>
      <c r="V32" s="228" t="n">
        <f aca="false">IF(ISERROR(S32*K32),0,S32*K32)</f>
        <v>2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ELONUT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454</v>
      </c>
    </row>
    <row r="33" customFormat="false" ht="12.75" hidden="false" customHeight="false" outlineLevel="0" collapsed="false">
      <c r="A33" s="216" t="s">
        <v>16</v>
      </c>
      <c r="B33" s="217" t="n">
        <v>1</v>
      </c>
      <c r="C33" s="218" t="n">
        <v>1.76940639269406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Myriophyllum spicatum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1.67707762557078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PHy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7</v>
      </c>
      <c r="I33" s="8" t="n">
        <f aca="false">IF(A33="","",1)</f>
        <v>1</v>
      </c>
      <c r="J33" s="224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8</v>
      </c>
      <c r="K33" s="224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2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Myriophyllum spicatum</v>
      </c>
      <c r="M33" s="225"/>
      <c r="N33" s="225"/>
      <c r="O33" s="225"/>
      <c r="P33" s="226" t="s">
        <v>80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1778</v>
      </c>
      <c r="R33" s="211" t="n">
        <f aca="false">IF(ISTEXT(H33),"",(B33*$B$7/100)+(C33*$C$7/100))</f>
        <v>1.67707762557078</v>
      </c>
      <c r="S33" s="212" t="n">
        <f aca="false">IF(OR(ISTEXT(H33),R33=0),"",IF(R33&lt;0.1,1,IF(R33&lt;1,2,IF(R33&lt;10,3,IF(R33&lt;50,4,IF(R33&gt;=50,5,""))))))</f>
        <v>3</v>
      </c>
      <c r="T33" s="212" t="n">
        <f aca="false">IF(ISERROR(S33*J33),0,S33*J33)</f>
        <v>24</v>
      </c>
      <c r="U33" s="212" t="n">
        <f aca="false">IF(ISERROR(S33*J33*K33),0,S33*J33*K33)</f>
        <v>48</v>
      </c>
      <c r="V33" s="228" t="n">
        <f aca="false">IF(ISERROR(S33*K33),0,S33*K33)</f>
        <v>6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MYRSPI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486</v>
      </c>
    </row>
    <row r="34" customFormat="false" ht="12.75" hidden="false" customHeight="false" outlineLevel="0" collapsed="false">
      <c r="A34" s="216" t="s">
        <v>90</v>
      </c>
      <c r="B34" s="217" t="n">
        <v>0.1</v>
      </c>
      <c r="C34" s="218" t="n">
        <v>0.000353881278538813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Potamogeton crispus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0.0123114155251142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PHy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7</v>
      </c>
      <c r="I34" s="8" t="n">
        <f aca="false">IF(A34="","",1)</f>
        <v>1</v>
      </c>
      <c r="J34" s="224" t="n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7</v>
      </c>
      <c r="K34" s="224" t="n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2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Potamogeton crispus</v>
      </c>
      <c r="M34" s="225"/>
      <c r="N34" s="225"/>
      <c r="O34" s="225"/>
      <c r="P34" s="226" t="s">
        <v>80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1645</v>
      </c>
      <c r="R34" s="211" t="n">
        <f aca="false">IF(ISTEXT(H34),"",(B34*$B$7/100)+(C34*$C$7/100))</f>
        <v>0.0123114155251142</v>
      </c>
      <c r="S34" s="212" t="n">
        <f aca="false">IF(OR(ISTEXT(H34),R34=0),"",IF(R34&lt;0.1,1,IF(R34&lt;1,2,IF(R34&lt;10,3,IF(R34&lt;50,4,IF(R34&gt;=50,5,""))))))</f>
        <v>1</v>
      </c>
      <c r="T34" s="212" t="n">
        <f aca="false">IF(ISERROR(S34*J34),0,S34*J34)</f>
        <v>7</v>
      </c>
      <c r="U34" s="212" t="n">
        <f aca="false">IF(ISERROR(S34*J34*K34),0,S34*J34*K34)</f>
        <v>14</v>
      </c>
      <c r="V34" s="228" t="n">
        <f aca="false">IF(ISERROR(S34*K34),0,S34*K34)</f>
        <v>2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POTCRI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522</v>
      </c>
    </row>
    <row r="35" customFormat="false" ht="12.75" hidden="false" customHeight="false" outlineLevel="0" collapsed="false">
      <c r="A35" s="216" t="s">
        <v>91</v>
      </c>
      <c r="B35" s="217" t="n">
        <v>0.1</v>
      </c>
      <c r="C35" s="218" t="n">
        <v>0.353881278538813</v>
      </c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Potamogeton nodosus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0.323415525114155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PHy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7</v>
      </c>
      <c r="I35" s="8" t="n">
        <f aca="false">IF(A35="","",1)</f>
        <v>1</v>
      </c>
      <c r="J35" s="224" t="n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4</v>
      </c>
      <c r="K35" s="224" t="n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3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Potamogeton nodosus</v>
      </c>
      <c r="M35" s="225"/>
      <c r="N35" s="225"/>
      <c r="O35" s="225"/>
      <c r="P35" s="226" t="s">
        <v>80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1652</v>
      </c>
      <c r="R35" s="211" t="n">
        <f aca="false">IF(ISTEXT(H35),"",(B35*$B$7/100)+(C35*$C$7/100))</f>
        <v>0.323415525114155</v>
      </c>
      <c r="S35" s="212" t="n">
        <f aca="false">IF(OR(ISTEXT(H35),R35=0),"",IF(R35&lt;0.1,1,IF(R35&lt;1,2,IF(R35&lt;10,3,IF(R35&lt;50,4,IF(R35&gt;=50,5,""))))))</f>
        <v>2</v>
      </c>
      <c r="T35" s="212" t="n">
        <f aca="false">IF(ISERROR(S35*J35),0,S35*J35)</f>
        <v>8</v>
      </c>
      <c r="U35" s="212" t="n">
        <f aca="false">IF(ISERROR(S35*J35*K35),0,S35*J35*K35)</f>
        <v>24</v>
      </c>
      <c r="V35" s="228" t="n">
        <f aca="false">IF(ISERROR(S35*K35),0,S35*K35)</f>
        <v>6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POTNOD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530</v>
      </c>
    </row>
    <row r="36" customFormat="false" ht="12.75" hidden="false" customHeight="false" outlineLevel="0" collapsed="false">
      <c r="A36" s="216" t="s">
        <v>92</v>
      </c>
      <c r="B36" s="217" t="n">
        <v>1</v>
      </c>
      <c r="C36" s="218" t="n">
        <v>0.0176940639269406</v>
      </c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Potamogeton pectinatus</v>
      </c>
      <c r="E36" s="220" t="e">
        <f aca="false">IF(D36="",0,VLOOKUP(D36,D$22:D35,1,0))</f>
        <v>#N/A</v>
      </c>
      <c r="F36" s="221" t="n">
        <f aca="false">IF(AND(OR(A36="",A36="!!!!!!"),B36="",C36=""),"",IF(OR(AND(B36="",C36=""),ISERROR(C36+B36)),"!!!",($B36*$B$7+$C36*$C$7)/100))</f>
        <v>0.135570776255708</v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PHy</v>
      </c>
      <c r="H36" s="223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7</v>
      </c>
      <c r="I36" s="8" t="n">
        <f aca="false">IF(A36="","",1)</f>
        <v>1</v>
      </c>
      <c r="J36" s="224" t="n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2</v>
      </c>
      <c r="K36" s="224" t="n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2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Potamogeton pectinatus</v>
      </c>
      <c r="M36" s="225"/>
      <c r="N36" s="225"/>
      <c r="O36" s="225"/>
      <c r="P36" s="226" t="s">
        <v>80</v>
      </c>
      <c r="Q36" s="227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1655</v>
      </c>
      <c r="R36" s="211" t="n">
        <f aca="false">IF(ISTEXT(H36),"",(B36*$B$7/100)+(C36*$C$7/100))</f>
        <v>0.135570776255708</v>
      </c>
      <c r="S36" s="212" t="n">
        <f aca="false">IF(OR(ISTEXT(H36),R36=0),"",IF(R36&lt;0.1,1,IF(R36&lt;1,2,IF(R36&lt;10,3,IF(R36&lt;50,4,IF(R36&gt;=50,5,""))))))</f>
        <v>2</v>
      </c>
      <c r="T36" s="212" t="n">
        <f aca="false">IF(ISERROR(S36*J36),0,S36*J36)</f>
        <v>4</v>
      </c>
      <c r="U36" s="212" t="n">
        <f aca="false">IF(ISERROR(S36*J36*K36),0,S36*J36*K36)</f>
        <v>8</v>
      </c>
      <c r="V36" s="228" t="n">
        <f aca="false">IF(ISERROR(S36*K36),0,S36*K36)</f>
        <v>4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>POTPEC</v>
      </c>
      <c r="Z36" s="197" t="n">
        <f aca="false">IF(ISERROR(MATCH(A36,'[1]liste reference'!$A$6:$A$1174,0)),IF(ISERROR(MATCH(A36,'[1]liste reference'!$B$6:$B$1174,0)),"",(MATCH(A36,'[1]liste reference'!$B$6:$B$1174,0))),(MATCH(A36,'[1]liste reference'!$A$6:$A$1174,0)))</f>
        <v>532</v>
      </c>
    </row>
    <row r="37" customFormat="false" ht="12.75" hidden="false" customHeight="false" outlineLevel="0" collapsed="false">
      <c r="A37" s="216" t="s">
        <v>93</v>
      </c>
      <c r="B37" s="217" t="n">
        <v>8</v>
      </c>
      <c r="C37" s="218" t="n">
        <v>0.00353881278538813</v>
      </c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>Ranunculus fluitans</v>
      </c>
      <c r="E37" s="220" t="e">
        <f aca="false">IF(D37="",0,VLOOKUP(D37,D$22:D36,1,0))</f>
        <v>#N/A</v>
      </c>
      <c r="F37" s="221" t="n">
        <f aca="false">IF(AND(OR(A37="",A37="!!!!!!"),B37="",C37=""),"",IF(OR(AND(B37="",C37=""),ISERROR(C37+B37)),"!!!",($B37*$B$7+$C37*$C$7)/100))</f>
        <v>0.963114155251142</v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>PHy</v>
      </c>
      <c r="H37" s="223" t="n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7</v>
      </c>
      <c r="I37" s="8" t="n">
        <f aca="false">IF(A37="","",1)</f>
        <v>1</v>
      </c>
      <c r="J37" s="224" t="n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10</v>
      </c>
      <c r="K37" s="224" t="n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2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>Ranunculus fluitans</v>
      </c>
      <c r="M37" s="225"/>
      <c r="N37" s="225"/>
      <c r="O37" s="225"/>
      <c r="P37" s="226" t="s">
        <v>80</v>
      </c>
      <c r="Q37" s="227" t="n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>1903</v>
      </c>
      <c r="R37" s="211" t="n">
        <f aca="false">IF(ISTEXT(H37),"",(B37*$B$7/100)+(C37*$C$7/100))</f>
        <v>0.963114155251142</v>
      </c>
      <c r="S37" s="212" t="n">
        <f aca="false">IF(OR(ISTEXT(H37),R37=0),"",IF(R37&lt;0.1,1,IF(R37&lt;1,2,IF(R37&lt;10,3,IF(R37&lt;50,4,IF(R37&gt;=50,5,""))))))</f>
        <v>2</v>
      </c>
      <c r="T37" s="212" t="n">
        <f aca="false">IF(ISERROR(S37*J37),0,S37*J37)</f>
        <v>20</v>
      </c>
      <c r="U37" s="212" t="n">
        <f aca="false">IF(ISERROR(S37*J37*K37),0,S37*J37*K37)</f>
        <v>40</v>
      </c>
      <c r="V37" s="228" t="n">
        <f aca="false">IF(ISERROR(S37*K37),0,S37*K37)</f>
        <v>4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>RANFLU</v>
      </c>
      <c r="Z37" s="197" t="n">
        <f aca="false">IF(ISERROR(MATCH(A37,'[1]liste reference'!$A$6:$A$1174,0)),IF(ISERROR(MATCH(A37,'[1]liste reference'!$B$6:$B$1174,0)),"",(MATCH(A37,'[1]liste reference'!$B$6:$B$1174,0))),(MATCH(A37,'[1]liste reference'!$A$6:$A$1174,0)))</f>
        <v>566</v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80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80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80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80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80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80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3.96459634703196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39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RHONE </v>
      </c>
      <c r="B84" s="180" t="str">
        <f aca="false">C3</f>
        <v>RHONE A MASSIGNEUX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7.41025641025641</v>
      </c>
      <c r="E84" s="254" t="n">
        <f aca="false">O13</f>
        <v>15</v>
      </c>
      <c r="F84" s="180" t="n">
        <f aca="false">O14</f>
        <v>15</v>
      </c>
      <c r="G84" s="180" t="n">
        <f aca="false">O15</f>
        <v>4</v>
      </c>
      <c r="H84" s="180" t="n">
        <f aca="false">O16</f>
        <v>10</v>
      </c>
      <c r="I84" s="180" t="n">
        <f aca="false">O17</f>
        <v>1</v>
      </c>
      <c r="J84" s="255" t="n">
        <f aca="false">O8</f>
        <v>8.26666666666667</v>
      </c>
      <c r="K84" s="256" t="n">
        <f aca="false">O9</f>
        <v>3.15101394615906</v>
      </c>
      <c r="L84" s="257" t="n">
        <f aca="false">O10</f>
        <v>2</v>
      </c>
      <c r="M84" s="257" t="n">
        <f aca="false">O11</f>
        <v>13</v>
      </c>
      <c r="N84" s="256" t="n">
        <f aca="false">P8</f>
        <v>1.8</v>
      </c>
      <c r="O84" s="256" t="n">
        <f aca="false">P9</f>
        <v>0.541602560309064</v>
      </c>
      <c r="P84" s="257" t="n">
        <f aca="false">P10</f>
        <v>1</v>
      </c>
      <c r="Q84" s="257" t="n">
        <f aca="false">P11</f>
        <v>3</v>
      </c>
      <c r="R84" s="257" t="n">
        <f aca="false">F21</f>
        <v>3.96459634703196</v>
      </c>
      <c r="S84" s="257" t="n">
        <f aca="false">L11</f>
        <v>0</v>
      </c>
      <c r="T84" s="257" t="n">
        <f aca="false">L12</f>
        <v>7</v>
      </c>
      <c r="U84" s="257" t="n">
        <f aca="false">L13</f>
        <v>1</v>
      </c>
      <c r="V84" s="258" t="n">
        <f aca="false">L15</f>
        <v>7</v>
      </c>
      <c r="W84" s="259" t="n">
        <f aca="false">L15</f>
        <v>7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94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95</v>
      </c>
      <c r="S87" s="8"/>
      <c r="T87" s="263" t="n">
        <f aca="false">VLOOKUP($T$91,($A$23:$U$82),20,FALSE())</f>
        <v>24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96</v>
      </c>
      <c r="S88" s="8"/>
      <c r="T88" s="263" t="n">
        <f aca="false">VLOOKUP($T$91,($A$23:$U$82),21,FALSE())</f>
        <v>48</v>
      </c>
      <c r="U88" s="8"/>
      <c r="V88" s="8" t="n">
        <f aca="false">COUNTIF(V23:V82,T89)</f>
        <v>2</v>
      </c>
    </row>
    <row r="89" customFormat="false" ht="12.75" hidden="true" customHeight="false" outlineLevel="0" collapsed="false">
      <c r="C89" s="261"/>
      <c r="D89" s="261"/>
      <c r="E89" s="261"/>
      <c r="R89" s="8" t="s">
        <v>97</v>
      </c>
      <c r="S89" s="8"/>
      <c r="T89" s="263" t="n">
        <f aca="false">MAX($V$23:$V$82)</f>
        <v>6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98</v>
      </c>
      <c r="S90" s="8" t="s">
        <v>10</v>
      </c>
      <c r="T90" s="264" t="n">
        <f aca="false">IF(OR(ISERROR(SUM($U$23:$U$82)/SUM($V$23:$V$82)),F7&lt;&gt;100),-1,(SUM($U$23:$U$82)-T88)/(SUM($V$23:$V$82)-T89))</f>
        <v>7.3030303030303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99</v>
      </c>
      <c r="S91" s="212"/>
      <c r="T91" s="212" t="str">
        <f aca="false">INDEX('[1]liste reference'!$A$6:$A$1174,$U$91)</f>
        <v>MYRSPI</v>
      </c>
      <c r="U91" s="8" t="n">
        <f aca="false">IF(ISERROR(MATCH($T$93,'[1]liste reference'!$A$6:$A$1174,0)),MATCH($T$93,'[1]liste reference'!$B$6:$B$1174,0),(MATCH($T$93,'[1]liste reference'!$A$6:$A$1174,0)))</f>
        <v>486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100</v>
      </c>
      <c r="S92" s="8"/>
      <c r="T92" s="8" t="n">
        <f aca="false">MATCH(T89,$V$23:$V$82,0)</f>
        <v>11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101</v>
      </c>
      <c r="S93" s="8"/>
      <c r="T93" s="212" t="str">
        <f aca="false">INDEX($A$23:$A$82,$T$92)</f>
        <v>MYRSPI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2016-04-06T11:51:42Z</dcterms:created>
  <dc:creator>laurianne isebe</dc:creator>
  <dc:description/>
  <dc:language>fr-FR</dc:language>
  <cp:lastModifiedBy>laurianne isebe</cp:lastModifiedBy>
  <dcterms:modified xsi:type="dcterms:W3CDTF">2016-04-06T11:51:45Z</dcterms:modified>
  <cp:revision>0</cp:revision>
  <dc:subject/>
  <dc:title/>
</cp:coreProperties>
</file>