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<sst xmlns="http://schemas.openxmlformats.org/spreadsheetml/2006/main" count="109" uniqueCount="103">
  <si>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</si>
  <si>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</si>
  <si>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</si>
  <si>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</si>
  <si>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</si>
  <si>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FIER</t>
  </si>
  <si>
    <t xml:space="preserve">FIER A POISY </t>
  </si>
  <si>
    <t xml:space="preserve">06070100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</si>
  <si>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</si>
  <si>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</si>
  <si>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</si>
  <si>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</si>
  <si>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</si>
  <si>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</si>
  <si>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</si>
  <si>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</si>
  <si>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</si>
  <si>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</si>
  <si>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</si>
  <si>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</si>
  <si>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</si>
  <si>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</si>
  <si>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</si>
  <si>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</si>
  <si>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</si>
  <si>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</si>
  <si>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</si>
  <si>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</si>
  <si>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</si>
  <si>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</si>
  <si>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</si>
  <si>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</si>
  <si>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</si>
  <si>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</si>
  <si>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</si>
  <si>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</si>
  <si>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</si>
  <si>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</si>
  <si>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</si>
  <si>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</si>
  <si>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</si>
  <si>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</si>
  <si>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</si>
  <si>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</si>
  <si>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</si>
  <si>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</si>
  <si>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</si>
  <si>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</si>
  <si>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</si>
  <si>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</si>
  <si>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</si>
  <si>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</si>
  <si>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</si>
  <si>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</si>
  <si>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</si>
  <si>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</si>
  <si>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</si>
  <si>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</si>
  <si>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</si>
  <si>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</si>
  <si>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</si>
  <si>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</si>
  <si>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</si>
  <si>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</si>
  <si>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</si>
  <si>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</si>
  <si>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</si>
  <si>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</si>
  <si>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</si>
  <si>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</si>
  <si>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</si>
  <si>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</si>
  <si>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</si>
  <si>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</si>
  <si>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</si>
  <si>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</si>
  <si>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</si>
  <si>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</si>
  <si>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</si>
  <si>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</si>
  <si>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PHOSPX</t>
  </si>
  <si>
    <t xml:space="preserve">STITEN</t>
  </si>
  <si>
    <t xml:space="preserve">VAUSPX</t>
  </si>
  <si>
    <t xml:space="preserve">BRARIV</t>
  </si>
  <si>
    <t xml:space="preserve">CINAQU</t>
  </si>
  <si>
    <t xml:space="preserve">CINFON</t>
  </si>
  <si>
    <t xml:space="preserve">CRAFIL</t>
  </si>
  <si>
    <t xml:space="preserve">FISCRA</t>
  </si>
  <si>
    <t xml:space="preserve">FONANT</t>
  </si>
  <si>
    <t xml:space="preserve">RHYRIP</t>
  </si>
  <si>
    <t xml:space="preserve">EQUFLU</t>
  </si>
  <si>
    <t xml:space="preserve">newcod</t>
  </si>
  <si>
    <t xml:space="preserve">Salix purpurea</t>
  </si>
  <si>
    <t xml:space="preserve">Leptolyngbia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</si>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</sst>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7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7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FIEPO_17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41472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12.075</v>
      </c>
      <c r="M5" s="53"/>
      <c r="N5" s="54" t="s">
        <v>16</v>
      </c>
      <c r="O5" s="55" t="n">
        <v>11.9117647058824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10.6428571428571</v>
      </c>
      <c r="O8" s="84" t="n">
        <f aca="false">IF(ISERROR(AVERAGE(J23:J82)),"      -",AVERAGE(J23:J82))</f>
        <v>1.85714285714286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2.21</v>
      </c>
      <c r="C9" s="87" t="n">
        <v>2.38</v>
      </c>
      <c r="D9" s="88"/>
      <c r="E9" s="88"/>
      <c r="F9" s="89" t="n">
        <f aca="false">($B9*$B$7+$C9*$C$7)/100</f>
        <v>2.2185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4.56081356866988</v>
      </c>
      <c r="O9" s="84" t="n">
        <f aca="false">IF(ISERROR(STDEVP(J23:J82)),"      -",STDEVP(J23:J82))</f>
        <v>0.63887656499994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0.29</v>
      </c>
      <c r="C12" s="119" t="n">
        <v>0.12</v>
      </c>
      <c r="D12" s="111"/>
      <c r="E12" s="111"/>
      <c r="F12" s="112" t="n">
        <f aca="false">($B12*$B$7+$C12*$C$7)/100</f>
        <v>0.2815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1.92</v>
      </c>
      <c r="C13" s="119" t="n">
        <v>2.24</v>
      </c>
      <c r="D13" s="111"/>
      <c r="E13" s="111"/>
      <c r="F13" s="112" t="n">
        <f aca="false">($B13*$B$7+$C13*$C$7)/100</f>
        <v>1.936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8</v>
      </c>
      <c r="L13" s="116"/>
      <c r="M13" s="127" t="s">
        <v>42</v>
      </c>
      <c r="N13" s="128" t="n">
        <f aca="false">COUNTIF(F23:F82,"&gt;0")</f>
        <v>16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1</v>
      </c>
      <c r="L14" s="116"/>
      <c r="M14" s="131" t="s">
        <v>45</v>
      </c>
      <c r="N14" s="132" t="n">
        <f aca="false">COUNTIF($I$23:$I$82,"&gt;-1")</f>
        <v>14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8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2.21</v>
      </c>
      <c r="C17" s="119" t="n">
        <v>2.36</v>
      </c>
      <c r="D17" s="111"/>
      <c r="E17" s="111"/>
      <c r="F17" s="143"/>
      <c r="G17" s="112" t="n">
        <f aca="false">($B17*$B$7+$C17*$C$7)/100</f>
        <v>2.2175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2.2185</v>
      </c>
      <c r="G19" s="156" t="n">
        <f aca="false">SUM(G16:G18)</f>
        <v>2.2185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2.21</v>
      </c>
      <c r="C20" s="166" t="n">
        <f aca="false">SUM(C23:C82)</f>
        <v>2.38</v>
      </c>
      <c r="D20" s="167"/>
      <c r="E20" s="168" t="s">
        <v>54</v>
      </c>
      <c r="F20" s="169" t="n">
        <f aca="false">($B20*$B$7+$C20*$C$7)/100</f>
        <v>2.2185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2.0995</v>
      </c>
      <c r="C21" s="179" t="n">
        <f aca="false">C20*C7/100</f>
        <v>0.119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2.2185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0.02</v>
      </c>
      <c r="C23" s="206" t="n">
        <v>0.11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0.0245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0.0245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0.02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Oedogonium sp.</v>
      </c>
      <c r="E24" s="226" t="e">
        <f aca="false">IF(D24="",0,VLOOKUP(D24,D$22:D23,1,0))</f>
        <v>#N/A</v>
      </c>
      <c r="F24" s="227" t="n">
        <f aca="false">($B24*$B$7+$C24*$C$7)/100</f>
        <v>0.019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Oedogonium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6" t="n">
        <f aca="false">IF(ISTEXT(H24),"",(B24*$B$7/100)+(C24*$C$7/100))</f>
        <v>0.019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6</v>
      </c>
      <c r="T24" s="217" t="n">
        <f aca="false">IF(ISERROR(R24*I24*J24),0,R24*I24*J24)</f>
        <v>12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OEDSPX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55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0.15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0.1425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0.1425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26</v>
      </c>
      <c r="T25" s="217" t="n">
        <f aca="false">IF(ISERROR(R25*I25*J25),0,R25*I25*J25)</f>
        <v>52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0.01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Stigeoclonium tenue</v>
      </c>
      <c r="E26" s="226" t="e">
        <f aca="false">IF(D26="",0,VLOOKUP(D26,D$22:D25,1,0))</f>
        <v>#N/A</v>
      </c>
      <c r="F26" s="227" t="n">
        <f aca="false">($B26*$B$7+$C26*$C$7)/100</f>
        <v>0.01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Stigeoclonium tenue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5583</v>
      </c>
      <c r="Q26" s="216" t="n">
        <f aca="false">IF(ISTEXT(H26),"",(B26*$B$7/100)+(C26*$C$7/100))</f>
        <v>0.01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</v>
      </c>
      <c r="T26" s="217" t="n">
        <f aca="false">IF(ISERROR(R26*I26*J26),0,R26*I26*J26)</f>
        <v>3</v>
      </c>
      <c r="U26" s="229" t="n">
        <f aca="false">IF(ISERROR(R26*J26),0,R26*J26)</f>
        <v>3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STITEN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72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0.08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Vaucheria sp.</v>
      </c>
      <c r="E27" s="226" t="e">
        <f aca="false">IF(D27="",0,VLOOKUP(D27,D$22:D26,1,0))</f>
        <v>#N/A</v>
      </c>
      <c r="F27" s="227" t="n">
        <f aca="false">($B27*$B$7+$C27*$C$7)/100</f>
        <v>0.076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4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Vaucheria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6193</v>
      </c>
      <c r="Q27" s="216" t="n">
        <f aca="false">IF(ISTEXT(H27),"",(B27*$B$7/100)+(C27*$C$7/100))</f>
        <v>0.076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4</v>
      </c>
      <c r="T27" s="217" t="n">
        <f aca="false">IF(ISERROR(R27*I27*J27),0,R27*I27*J27)</f>
        <v>4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VAUSPX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82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0.15</v>
      </c>
      <c r="C28" s="225" t="n">
        <v>0.01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Brachythecium rivulare</v>
      </c>
      <c r="E28" s="226" t="e">
        <f aca="false">IF(D28="",0,VLOOKUP(D28,D$22:D27,1,0))</f>
        <v>#N/A</v>
      </c>
      <c r="F28" s="227" t="n">
        <f aca="false">($B28*$B$7+$C28*$C$7)/100</f>
        <v>0.143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Brachythecium rivulare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1260</v>
      </c>
      <c r="Q28" s="216" t="n">
        <f aca="false">IF(ISTEXT(H28),"",(B28*$B$7/100)+(C28*$C$7/100))</f>
        <v>0.143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30</v>
      </c>
      <c r="T28" s="217" t="n">
        <f aca="false">IF(ISERROR(R28*I28*J28),0,R28*I28*J28)</f>
        <v>60</v>
      </c>
      <c r="U28" s="229" t="n">
        <f aca="false">IF(ISERROR(R28*J28),0,R28*J28)</f>
        <v>4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BRARIV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155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84</v>
      </c>
      <c r="B29" s="224" t="n">
        <v>0.01</v>
      </c>
      <c r="C29" s="225" t="n">
        <v>0.1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Cinclidotus aquaticus</v>
      </c>
      <c r="E29" s="226" t="e">
        <f aca="false">IF(D29="",0,VLOOKUP(D29,D$22:D28,1,0))</f>
        <v>#N/A</v>
      </c>
      <c r="F29" s="227" t="n">
        <f aca="false">($B29*$B$7+$C29*$C$7)/100</f>
        <v>0.0145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Cinclidotus aquaticus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1318</v>
      </c>
      <c r="Q29" s="216" t="n">
        <f aca="false">IF(ISTEXT(H29),"",(B29*$B$7/100)+(C29*$C$7/100))</f>
        <v>0.0145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15</v>
      </c>
      <c r="T29" s="217" t="n">
        <f aca="false">IF(ISERROR(R29*I29*J29),0,R29*I29*J29)</f>
        <v>30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CINAQU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170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85</v>
      </c>
      <c r="B30" s="224" t="n">
        <v>0</v>
      </c>
      <c r="C30" s="225" t="n">
        <v>2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Cinclidotus fontinaloides</v>
      </c>
      <c r="E30" s="226" t="e">
        <f aca="false">IF(D30="",0,VLOOKUP(D30,D$22:D29,1,0))</f>
        <v>#N/A</v>
      </c>
      <c r="F30" s="227" t="n">
        <f aca="false">($B30*$B$7+$C30*$C$7)/100</f>
        <v>0.1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Cinclidotus fontinaloides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1320</v>
      </c>
      <c r="Q30" s="216" t="n">
        <f aca="false">IF(ISTEXT(H30),"",(B30*$B$7/100)+(C30*$C$7/100))</f>
        <v>0.1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48</v>
      </c>
      <c r="U30" s="229" t="n">
        <f aca="false">IF(ISERROR(R30*J30),0,R30*J30)</f>
        <v>4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CINFON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172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16</v>
      </c>
      <c r="B31" s="224" t="n">
        <v>1.5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Cinclidotus riparius</v>
      </c>
      <c r="E31" s="226" t="e">
        <f aca="false">IF(D31="",0,VLOOKUP(D31,D$22:D30,1,0))</f>
        <v>#N/A</v>
      </c>
      <c r="F31" s="227" t="n">
        <f aca="false">($B31*$B$7+$C31*$C$7)/100</f>
        <v>1.425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13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Cinclidotus riparius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1321</v>
      </c>
      <c r="Q31" s="216" t="n">
        <f aca="false">IF(ISTEXT(H31),"",(B31*$B$7/100)+(C31*$C$7/100))</f>
        <v>1.425</v>
      </c>
      <c r="R31" s="217" t="n">
        <f aca="false">IF(OR(ISTEXT(H31),Q31=0),"",IF(Q31&lt;0.1,1,IF(Q31&lt;1,2,IF(Q31&lt;10,3,IF(Q31&lt;50,4,IF(Q31&gt;=50,5,""))))))</f>
        <v>3</v>
      </c>
      <c r="S31" s="217" t="n">
        <f aca="false">IF(ISERROR(R31*I31),0,R31*I31)</f>
        <v>39</v>
      </c>
      <c r="T31" s="217" t="n">
        <f aca="false">IF(ISERROR(R31*I31*J31),0,R31*I31*J31)</f>
        <v>78</v>
      </c>
      <c r="U31" s="229" t="n">
        <f aca="false">IF(ISERROR(R31*J31),0,R31*J31)</f>
        <v>6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CINRIP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174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0.15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Cratoneuron filicinum</v>
      </c>
      <c r="E32" s="226" t="e">
        <f aca="false">IF(D32="",0,VLOOKUP(D32,D$22:D31,1,0))</f>
        <v>#N/A</v>
      </c>
      <c r="F32" s="227" t="n">
        <f aca="false">($B32*$B$7+$C32*$C$7)/100</f>
        <v>0.143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18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Cratoneuron filicinum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1233</v>
      </c>
      <c r="Q32" s="216" t="n">
        <f aca="false">IF(ISTEXT(H32),"",(B32*$B$7/100)+(C32*$C$7/100))</f>
        <v>0.143</v>
      </c>
      <c r="R32" s="217" t="n">
        <f aca="false">IF(OR(ISTEXT(H32),Q32=0),"",IF(Q32&lt;0.1,1,IF(Q32&lt;1,2,IF(Q32&lt;10,3,IF(Q32&lt;50,4,IF(Q32&gt;=50,5,""))))))</f>
        <v>2</v>
      </c>
      <c r="S32" s="217" t="n">
        <f aca="false">IF(ISERROR(R32*I32),0,R32*I32)</f>
        <v>36</v>
      </c>
      <c r="T32" s="217" t="n">
        <f aca="false">IF(ISERROR(R32*I32*J32),0,R32*I32*J32)</f>
        <v>108</v>
      </c>
      <c r="U32" s="229" t="n">
        <f aca="false">IF(ISERROR(R32*J32),0,R32*J32)</f>
        <v>6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CRAFIL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178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0.01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Fissidens crassipes</v>
      </c>
      <c r="E33" s="226" t="e">
        <f aca="false">IF(D33="",0,VLOOKUP(D33,D$22:D32,1,0))</f>
        <v>#N/A</v>
      </c>
      <c r="F33" s="227" t="n">
        <f aca="false">($B33*$B$7+$C33*$C$7)/100</f>
        <v>0.01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Fissidens crassipes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1294</v>
      </c>
      <c r="Q33" s="216" t="n">
        <f aca="false">IF(ISTEXT(H33),"",(B33*$B$7/100)+(C33*$C$7/100))</f>
        <v>0.01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12</v>
      </c>
      <c r="T33" s="217" t="n">
        <f aca="false">IF(ISERROR(R33*I33*J33),0,R33*I33*J33)</f>
        <v>24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FISCRA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197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</v>
      </c>
      <c r="C34" s="225" t="n">
        <v>0.01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Fontinalis antipyretica</v>
      </c>
      <c r="E34" s="226" t="e">
        <f aca="false">IF(D34="",0,VLOOKUP(D34,D$22:D33,1,0))</f>
        <v>#N/A</v>
      </c>
      <c r="F34" s="231" t="n">
        <f aca="false">($B34*$B$7+$C34*$C$7)/100</f>
        <v>0.0005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Fontinalis antipyretica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1310</v>
      </c>
      <c r="Q34" s="216" t="n">
        <f aca="false">IF(ISTEXT(H34),"",(B34*$B$7/100)+(C34*$C$7/100))</f>
        <v>0.0005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10</v>
      </c>
      <c r="T34" s="217" t="n">
        <f aca="false">IF(ISERROR(R34*I34*J34),0,R34*I34*J34)</f>
        <v>10</v>
      </c>
      <c r="U34" s="229" t="n">
        <f aca="false">IF(ISERROR(R34*J34),0,R34*J34)</f>
        <v>1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FONANT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210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0.1</v>
      </c>
      <c r="C35" s="225" t="n">
        <v>0.1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Rhynchostegium riparioides</v>
      </c>
      <c r="E35" s="226" t="e">
        <f aca="false">IF(D35="",0,VLOOKUP(D35,D$22:D34,1,0))</f>
        <v>#N/A</v>
      </c>
      <c r="F35" s="231" t="n">
        <f aca="false">($B35*$B$7+$C35*$C$7)/100</f>
        <v>0.1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12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Rhynchostegium riparioides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1268</v>
      </c>
      <c r="Q35" s="216" t="n">
        <f aca="false">IF(ISTEXT(H35),"",(B35*$B$7/100)+(C35*$C$7/100))</f>
        <v>0.1</v>
      </c>
      <c r="R35" s="217" t="n">
        <f aca="false">IF(OR(ISTEXT(H35),Q35=0),"",IF(Q35&lt;0.1,1,IF(Q35&lt;1,2,IF(Q35&lt;10,3,IF(Q35&lt;50,4,IF(Q35&gt;=50,5,""))))))</f>
        <v>2</v>
      </c>
      <c r="S35" s="217" t="n">
        <f aca="false">IF(ISERROR(R35*I35),0,R35*I35)</f>
        <v>24</v>
      </c>
      <c r="T35" s="217" t="n">
        <f aca="false">IF(ISERROR(R35*I35*J35),0,R35*I35*J35)</f>
        <v>24</v>
      </c>
      <c r="U35" s="229" t="n">
        <f aca="false">IF(ISERROR(R35*J35),0,R35*J35)</f>
        <v>2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RHYRIP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252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90</v>
      </c>
      <c r="B36" s="224" t="n">
        <v>0</v>
      </c>
      <c r="C36" s="225" t="n">
        <v>0.01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Equisetum fluviatile</v>
      </c>
      <c r="E36" s="226" t="e">
        <f aca="false">IF(D36="",0,VLOOKUP(D36,D$22:D35,1,0))</f>
        <v>#N/A</v>
      </c>
      <c r="F36" s="231" t="n">
        <f aca="false">($B36*$B$7+$C36*$C$7)/100</f>
        <v>0.0005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PTE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6</v>
      </c>
      <c r="I36" s="211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12</v>
      </c>
      <c r="J36" s="211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Equisetum fluviatile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1385</v>
      </c>
      <c r="Q36" s="216" t="n">
        <f aca="false">IF(ISTEXT(H36),"",(B36*$B$7/100)+(C36*$C$7/100))</f>
        <v>0.0005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12</v>
      </c>
      <c r="T36" s="217" t="n">
        <f aca="false">IF(ISERROR(R36*I36*J36),0,R36*I36*J36)</f>
        <v>24</v>
      </c>
      <c r="U36" s="229" t="n">
        <f aca="false">IF(ISERROR(R36*J36),0,R36*J36)</f>
        <v>2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EQUFLU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279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91</v>
      </c>
      <c r="B37" s="224" t="n">
        <v>0</v>
      </c>
      <c r="C37" s="225" t="n">
        <v>0.01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0.0005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    -</v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Salix purpurea</v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No</v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newcod</v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 t="s">
        <v>92</v>
      </c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91</v>
      </c>
      <c r="B38" s="224" t="n">
        <v>0.01</v>
      </c>
      <c r="C38" s="225" t="n">
        <v>0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0.0095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    -</v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Leptolyngbia sp.</v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No</v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newcod</v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 t="s">
        <v>93</v>
      </c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FIER</v>
      </c>
      <c r="B84" s="259" t="str">
        <f aca="false">C3</f>
        <v>FIER A POISY </v>
      </c>
      <c r="C84" s="260" t="n">
        <f aca="false">A4</f>
        <v>41472</v>
      </c>
      <c r="D84" s="261" t="n">
        <f aca="false">IF(ISERROR(SUM($T$23:$T$82)/SUM($U$23:$U$82)),"",SUM($T$23:$T$82)/SUM($U$23:$U$82))</f>
        <v>12.075</v>
      </c>
      <c r="E84" s="262" t="n">
        <f aca="false">N13</f>
        <v>16</v>
      </c>
      <c r="F84" s="259" t="n">
        <f aca="false">N14</f>
        <v>14</v>
      </c>
      <c r="G84" s="259" t="n">
        <f aca="false">N15</f>
        <v>4</v>
      </c>
      <c r="H84" s="259" t="n">
        <f aca="false">N16</f>
        <v>8</v>
      </c>
      <c r="I84" s="259" t="n">
        <f aca="false">N17</f>
        <v>2</v>
      </c>
      <c r="J84" s="263" t="n">
        <f aca="false">N8</f>
        <v>10.6428571428571</v>
      </c>
      <c r="K84" s="261" t="n">
        <f aca="false">N9</f>
        <v>4.56081356866988</v>
      </c>
      <c r="L84" s="262" t="n">
        <f aca="false">N10</f>
        <v>1</v>
      </c>
      <c r="M84" s="262" t="n">
        <f aca="false">N11</f>
        <v>18</v>
      </c>
      <c r="N84" s="261" t="n">
        <f aca="false">O8</f>
        <v>1.85714285714286</v>
      </c>
      <c r="O84" s="261" t="n">
        <f aca="false">O9</f>
        <v>0.63887656499994</v>
      </c>
      <c r="P84" s="262" t="n">
        <f aca="false">O10</f>
        <v>1</v>
      </c>
      <c r="Q84" s="262" t="n">
        <f aca="false">O11</f>
        <v>3</v>
      </c>
      <c r="R84" s="262" t="n">
        <f aca="false">F21</f>
        <v>2.2185</v>
      </c>
      <c r="S84" s="262" t="n">
        <f aca="false">K11</f>
        <v>0</v>
      </c>
      <c r="T84" s="262" t="n">
        <f aca="false">K12</f>
        <v>5</v>
      </c>
      <c r="U84" s="262" t="n">
        <f aca="false">K13</f>
        <v>8</v>
      </c>
      <c r="V84" s="264" t="n">
        <f aca="false">K14</f>
        <v>1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95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96</v>
      </c>
      <c r="R87" s="10"/>
      <c r="S87" s="218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97</v>
      </c>
      <c r="R88" s="10"/>
      <c r="S88" s="218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98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99</v>
      </c>
      <c r="R90" s="10"/>
      <c r="S90" s="268" t="n">
        <f aca="false">IF(ISERROR(SUM($T$23:$T$82)/SUM($U$23:$U$82)),"",(SUM($T$23:$T$82)-S88)/(SUM($U$23:$U$82)-S89))</f>
        <v>11.9117647058824</v>
      </c>
      <c r="T90" s="10"/>
    </row>
    <row r="91" customFormat="false" ht="12.75" hidden="false" customHeight="false" outlineLevel="0" collapsed="false">
      <c r="Q91" s="217" t="s">
        <v>100</v>
      </c>
      <c r="R91" s="217"/>
      <c r="S91" s="217" t="str">
        <f aca="false">INDEX('[1]liste reference'!$A$8:$A$904,$T$91)</f>
        <v>CINRIP</v>
      </c>
      <c r="T91" s="10" t="n">
        <f aca="false">IF(ISERROR(MATCH($S$93,'[1]liste reference'!$A$8:$A$904,0)),MATCH($S$93,'[1]liste reference'!$B$8:$B$904,0),(MATCH($S$93,'[1]liste reference'!$A$8:$A$904,0)))</f>
        <v>174</v>
      </c>
      <c r="U91" s="257"/>
    </row>
    <row r="92" customFormat="false" ht="12.75" hidden="false" customHeight="false" outlineLevel="0" collapsed="false">
      <c r="Q92" s="10" t="s">
        <v>101</v>
      </c>
      <c r="R92" s="10"/>
      <c r="S92" s="10" t="n">
        <f aca="false">MATCH(S87,$S$23:$S$82,0)</f>
        <v>9</v>
      </c>
      <c r="T92" s="10"/>
    </row>
    <row r="93" customFormat="false" ht="12.75" hidden="false" customHeight="false" outlineLevel="0" collapsed="false">
      <c r="Q93" s="217" t="s">
        <v>102</v>
      </c>
      <c r="R93" s="10"/>
      <c r="S93" s="217" t="str">
        <f aca="false">INDEX($A$23:$A$82,$S$92)</f>
        <v>CINRIP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2013-12-18T17:27:11Z</dcterms:created>
  <dc:creator>li</dc:creator>
  <dc:description/>
  <dc:language>fr-FR</dc:language>
  <cp:lastModifiedBy>li</cp:lastModifiedBy>
  <dcterms:modified xsi:type="dcterms:W3CDTF">2013-12-18T17:27:16Z</dcterms:modified>
  <cp:revision>0</cp:revision>
  <dc:subject/>
  <dc:title/>
</cp:coreProperties>
</file>