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Saisie_LF!$H$1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<sst xmlns="http://schemas.openxmlformats.org/spreadsheetml/2006/main" count="104" uniqueCount="100">
  <si>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</si>
  <si>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</si>
  <si>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</si>
  <si>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 BOURGOIN C. BERNARD</t>
  </si>
  <si>
    <t xml:space="preserve">conforme AFNOR T90-395 oct. 2003</t>
  </si>
  <si>
    <t xml:space="preserve">FURANS</t>
  </si>
  <si>
    <t xml:space="preserve">FURANS A BELLEY</t>
  </si>
  <si>
    <t xml:space="preserve">06077000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</si>
  <si>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</si>
  <si>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</si>
  <si>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</si>
  <si>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</si>
  <si>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</si>
  <si>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</si>
  <si>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</si>
  <si>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</si>
  <si>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</si>
  <si>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</si>
  <si>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</si>
  <si>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</si>
  <si>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</si>
  <si>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</si>
  <si>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</si>
  <si>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</si>
  <si>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</si>
  <si>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</si>
  <si>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</si>
  <si>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</si>
  <si>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</si>
  <si>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</si>
  <si>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</si>
  <si>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</si>
  <si>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</si>
  <si>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</si>
  <si>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</si>
  <si>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</si>
  <si>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</si>
  <si>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</si>
  <si>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</si>
  <si>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</si>
  <si>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</si>
  <si>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</si>
  <si>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</si>
  <si>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</si>
  <si>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</si>
  <si>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</si>
  <si>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</si>
  <si>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</si>
  <si>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</si>
  <si>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</si>
  <si>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</si>
  <si>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</si>
  <si>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</si>
  <si>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</si>
  <si>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</si>
  <si>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</si>
  <si>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</si>
  <si>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</si>
  <si>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</si>
  <si>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</si>
  <si>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</si>
  <si>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</si>
  <si>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</si>
  <si>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</si>
  <si>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</si>
  <si>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</si>
  <si>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</si>
  <si>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</si>
  <si>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</si>
  <si>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</si>
  <si>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</si>
  <si>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</si>
  <si>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</si>
  <si>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</si>
  <si>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</si>
  <si>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</si>
  <si>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</si>
  <si>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</si>
  <si>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LEASPX</t>
  </si>
  <si>
    <t xml:space="preserve">VAUSPX</t>
  </si>
  <si>
    <t xml:space="preserve">CHIPAL</t>
  </si>
  <si>
    <t xml:space="preserve">PELEND</t>
  </si>
  <si>
    <t xml:space="preserve">AMBTEN</t>
  </si>
  <si>
    <t xml:space="preserve">FISCRA</t>
  </si>
  <si>
    <t xml:space="preserve">FONANT</t>
  </si>
  <si>
    <t xml:space="preserve">RHYRIP</t>
  </si>
  <si>
    <t xml:space="preserve">POTBER</t>
  </si>
  <si>
    <t xml:space="preserve">SCILAC</t>
  </si>
  <si>
    <t xml:space="preserve">Schoenoplectus lacustris</t>
  </si>
  <si>
    <t xml:space="preserve">NEWCOD</t>
  </si>
  <si>
    <t xml:space="preserve">Jungermannia exsertifolia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</si>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</sst>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X63VVYZY/13011_FURBE_17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41472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12.2941176470588</v>
      </c>
      <c r="M5" s="53"/>
      <c r="N5" s="54" t="s">
        <v>16</v>
      </c>
      <c r="O5" s="55" t="n">
        <v>11.4615384615385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10.9090909090909</v>
      </c>
      <c r="O8" s="84" t="n">
        <f aca="false">IF(ISERROR(AVERAGE(J23:J82)),"      -",AVERAGE(J23:J82))</f>
        <v>1.63636363636364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84.15</v>
      </c>
      <c r="C9" s="87" t="n">
        <v>9.31</v>
      </c>
      <c r="D9" s="88"/>
      <c r="E9" s="88"/>
      <c r="F9" s="89" t="n">
        <f aca="false">($B9*$B$7+$C9*$C$7)/100</f>
        <v>69.182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3.65450022586214</v>
      </c>
      <c r="O9" s="84" t="n">
        <f aca="false">IF(ISERROR(STDEVP(J23:J82)),"      -",STDEVP(J23:J82))</f>
        <v>0.481045692920835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0.52</v>
      </c>
      <c r="C12" s="119" t="n">
        <v>0.1</v>
      </c>
      <c r="D12" s="111"/>
      <c r="E12" s="111"/>
      <c r="F12" s="112" t="n">
        <f aca="false">($B12*$B$7+$C12*$C$7)/100</f>
        <v>0.436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83.61</v>
      </c>
      <c r="C13" s="119" t="n">
        <v>9.21</v>
      </c>
      <c r="D13" s="111"/>
      <c r="E13" s="111"/>
      <c r="F13" s="112" t="n">
        <f aca="false">($B13*$B$7+$C13*$C$7)/100</f>
        <v>68.73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7</v>
      </c>
      <c r="L13" s="116"/>
      <c r="M13" s="127" t="s">
        <v>41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0.02</v>
      </c>
      <c r="C15" s="136"/>
      <c r="D15" s="111"/>
      <c r="E15" s="111"/>
      <c r="F15" s="112" t="n">
        <f aca="false">($B15*$B$7+$C15*$C$7)/100</f>
        <v>0.016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84.15</v>
      </c>
      <c r="C17" s="119" t="n">
        <v>9.31</v>
      </c>
      <c r="D17" s="111"/>
      <c r="E17" s="111"/>
      <c r="F17" s="143"/>
      <c r="G17" s="112" t="n">
        <f aca="false">($B17*$B$7+$C17*$C$7)/100</f>
        <v>69.182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69.182</v>
      </c>
      <c r="G19" s="156" t="n">
        <f aca="false">SUM(G16:G18)</f>
        <v>69.182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84.15</v>
      </c>
      <c r="C20" s="166" t="n">
        <f aca="false">SUM(C23:C82)</f>
        <v>9.31</v>
      </c>
      <c r="D20" s="167"/>
      <c r="E20" s="168" t="s">
        <v>53</v>
      </c>
      <c r="F20" s="169" t="n">
        <f aca="false">($B20*$B$7+$C20*$C$7)/100</f>
        <v>69.182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67.32</v>
      </c>
      <c r="C21" s="179" t="n">
        <f aca="false">C20*C7/100</f>
        <v>1.862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69.182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0.01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0.008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0.008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0.01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6" t="e">
        <f aca="false">IF(D24="",0,VLOOKUP(D24,D$22:D23,1,0))</f>
        <v>#N/A</v>
      </c>
      <c r="F24" s="227" t="n">
        <f aca="false">($B24*$B$7+$C24*$C$7)/100</f>
        <v>0.008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6" t="n">
        <f aca="false">IF(ISTEXT(H24),"",(B24*$B$7/100)+(C24*$C$7/100))</f>
        <v>0.008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LEASPX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0.5</v>
      </c>
      <c r="C25" s="225" t="n">
        <v>0.1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0.42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4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6193</v>
      </c>
      <c r="Q25" s="216" t="n">
        <f aca="false">IF(ISTEXT(H25),"",(B25*$B$7/100)+(C25*$C$7/100))</f>
        <v>0.42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8</v>
      </c>
      <c r="T25" s="217" t="n">
        <f aca="false">IF(ISERROR(R25*I25*J25),0,R25*I25*J25)</f>
        <v>8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VAUSPX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8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Chiloscyphus pallescens</v>
      </c>
      <c r="E26" s="226" t="e">
        <f aca="false">IF(D26="",0,VLOOKUP(D26,D$22:D25,1,0))</f>
        <v>#N/A</v>
      </c>
      <c r="F26" s="227" t="n">
        <f aca="false">($B26*$B$7+$C26*$C$7)/100</f>
        <v>6.4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14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Chiloscyphus pallescens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1185</v>
      </c>
      <c r="Q26" s="216" t="n">
        <f aca="false">IF(ISTEXT(H26),"",(B26*$B$7/100)+(C26*$C$7/100))</f>
        <v>6.4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42</v>
      </c>
      <c r="T26" s="217" t="n">
        <f aca="false">IF(ISERROR(R26*I26*J26),0,R26*I26*J26)</f>
        <v>84</v>
      </c>
      <c r="U26" s="229" t="n">
        <f aca="false">IF(ISERROR(R26*J26),0,R26*J26)</f>
        <v>6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CHIPAL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96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15</v>
      </c>
      <c r="C27" s="225" t="n">
        <v>5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Pellia endiviifolia</v>
      </c>
      <c r="E27" s="226" t="e">
        <f aca="false">IF(D27="",0,VLOOKUP(D27,D$22:D26,1,0))</f>
        <v>#N/A</v>
      </c>
      <c r="F27" s="227" t="n">
        <f aca="false">($B27*$B$7+$C27*$C$7)/100</f>
        <v>13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Pellia endiviifolia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1197</v>
      </c>
      <c r="Q27" s="216" t="n">
        <f aca="false">IF(ISTEXT(H27),"",(B27*$B$7/100)+(C27*$C$7/100))</f>
        <v>13</v>
      </c>
      <c r="R27" s="217" t="n">
        <f aca="false">IF(OR(ISTEXT(H27),Q27=0),"",IF(Q27&lt;0.1,1,IF(Q27&lt;1,2,IF(Q27&lt;10,3,IF(Q27&lt;50,4,IF(Q27&gt;=50,5,""))))))</f>
        <v>4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19"/>
      <c r="Y27" s="220" t="str">
        <f aca="false">IF(A27="new.cod","NEWCOD",IF(AND((Z27=""),ISTEXT(A27)),A27,IF(Z27="","",INDEX('[1]liste reference'!$A$8:$A$904,Z27))))</f>
        <v>PELEND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120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tenax</v>
      </c>
      <c r="E28" s="226" t="e">
        <f aca="false">IF(D28="",0,VLOOKUP(D28,D$22:D27,1,0))</f>
        <v>#N/A</v>
      </c>
      <c r="F28" s="227" t="n">
        <f aca="false">($B28*$B$7+$C28*$C$7)/100</f>
        <v>0.08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tenax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10210</v>
      </c>
      <c r="Q28" s="216" t="n">
        <f aca="false">IF(ISTEXT(H28),"",(B28*$B$7/100)+(C28*$C$7/100))</f>
        <v>0.08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15</v>
      </c>
      <c r="T28" s="217" t="n">
        <f aca="false">IF(ISERROR(R28*I28*J28),0,R28*I28*J28)</f>
        <v>30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X28" s="219"/>
      <c r="Y28" s="220" t="str">
        <f aca="false">IF(A28="new.cod","NEWCOD",IF(AND((Z28=""),ISTEXT(A28)),A28,IF(Z28="","",INDEX('[1]liste reference'!$A$8:$A$904,Z28))))</f>
        <v>AMBTEN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150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40</v>
      </c>
      <c r="C29" s="225" t="n">
        <v>0.1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Cinclidotus aquaticus</v>
      </c>
      <c r="E29" s="226" t="e">
        <f aca="false">IF(D29="",0,VLOOKUP(D29,D$22:D28,1,0))</f>
        <v>#N/A</v>
      </c>
      <c r="F29" s="227" t="n">
        <f aca="false">($B29*$B$7+$C29*$C$7)/100</f>
        <v>32.02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Cinclidotus aquaticus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1318</v>
      </c>
      <c r="Q29" s="216" t="n">
        <f aca="false">IF(ISTEXT(H29),"",(B29*$B$7/100)+(C29*$C$7/100))</f>
        <v>32.02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60</v>
      </c>
      <c r="T29" s="217" t="n">
        <f aca="false">IF(ISERROR(R29*I29*J29),0,R29*I29*J29)</f>
        <v>120</v>
      </c>
      <c r="U29" s="229" t="n">
        <f aca="false">IF(ISERROR(R29*J29),0,R29*J29)</f>
        <v>8</v>
      </c>
      <c r="V29" s="218" t="str">
        <f aca="false">IF(AND(A29="",F29=0),"",IF(F29=0,"Il manque le(s) % de rec. !",""))</f>
        <v/>
      </c>
      <c r="W29" s="219"/>
      <c r="Y29" s="220" t="str">
        <f aca="false">IF(A29="new.cod","NEWCOD",IF(AND((Z29=""),ISTEXT(A29)),A29,IF(Z29="","",INDEX('[1]liste reference'!$A$8:$A$904,Z29))))</f>
        <v>CINAQU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170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0.5</v>
      </c>
      <c r="C30" s="225" t="n">
        <v>0.1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Fissidens crassipes</v>
      </c>
      <c r="E30" s="226" t="e">
        <f aca="false">IF(D30="",0,VLOOKUP(D30,D$22:D29,1,0))</f>
        <v>#N/A</v>
      </c>
      <c r="F30" s="227" t="n">
        <f aca="false">($B30*$B$7+$C30*$C$7)/100</f>
        <v>0.42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Fissidens crassipes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1294</v>
      </c>
      <c r="Q30" s="216" t="n">
        <f aca="false">IF(ISTEXT(H30),"",(B30*$B$7/100)+(C30*$C$7/100))</f>
        <v>0.42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48</v>
      </c>
      <c r="U30" s="229" t="n">
        <f aca="false">IF(ISERROR(R30*J30),0,R30*J30)</f>
        <v>4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FISCRA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197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0.01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Fontinalis antipyretica</v>
      </c>
      <c r="E31" s="226" t="e">
        <f aca="false">IF(D31="",0,VLOOKUP(D31,D$22:D30,1,0))</f>
        <v>#N/A</v>
      </c>
      <c r="F31" s="227" t="n">
        <f aca="false">($B31*$B$7+$C31*$C$7)/100</f>
        <v>0.01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10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Fontinalis antipyretica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1310</v>
      </c>
      <c r="Q31" s="216" t="n">
        <f aca="false">IF(ISTEXT(H31),"",(B31*$B$7/100)+(C31*$C$7/100))</f>
        <v>0.01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10</v>
      </c>
      <c r="T31" s="217" t="n">
        <f aca="false">IF(ISERROR(R31*I31*J31),0,R31*I31*J31)</f>
        <v>10</v>
      </c>
      <c r="U31" s="229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FONANT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210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20</v>
      </c>
      <c r="C32" s="225" t="n">
        <v>3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Rhynchostegium riparioides</v>
      </c>
      <c r="E32" s="226" t="e">
        <f aca="false">IF(D32="",0,VLOOKUP(D32,D$22:D31,1,0))</f>
        <v>#N/A</v>
      </c>
      <c r="F32" s="227" t="n">
        <f aca="false">($B32*$B$7+$C32*$C$7)/100</f>
        <v>16.6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12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Rhynchostegium riparioides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1268</v>
      </c>
      <c r="Q32" s="216" t="n">
        <f aca="false">IF(ISTEXT(H32),"",(B32*$B$7/100)+(C32*$C$7/100))</f>
        <v>16.6</v>
      </c>
      <c r="R32" s="217" t="n">
        <f aca="false">IF(OR(ISTEXT(H32),Q32=0),"",IF(Q32&lt;0.1,1,IF(Q32&lt;1,2,IF(Q32&lt;10,3,IF(Q32&lt;50,4,IF(Q32&gt;=50,5,""))))))</f>
        <v>4</v>
      </c>
      <c r="S32" s="217" t="n">
        <f aca="false">IF(ISERROR(R32*I32),0,R32*I32)</f>
        <v>48</v>
      </c>
      <c r="T32" s="217" t="n">
        <f aca="false">IF(ISERROR(R32*I32*J32),0,R32*I32*J32)</f>
        <v>48</v>
      </c>
      <c r="U32" s="229" t="n">
        <f aca="false">IF(ISERROR(R32*J32),0,R32*J32)</f>
        <v>4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RHYRIP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252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86</v>
      </c>
      <c r="B33" s="224" t="n">
        <v>0.01</v>
      </c>
      <c r="C33" s="225" t="n">
        <v>0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Potamogeton berchtoldii</v>
      </c>
      <c r="E33" s="226" t="e">
        <f aca="false">IF(D33="",0,VLOOKUP(D33,D$22:D32,1,0))</f>
        <v>#N/A</v>
      </c>
      <c r="F33" s="227" t="n">
        <f aca="false">($B33*$B$7+$C33*$C$7)/100</f>
        <v>0.008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7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9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Potamogeton berchtoldii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1642</v>
      </c>
      <c r="Q33" s="216" t="n">
        <f aca="false">IF(ISTEXT(H33),"",(B33*$B$7/100)+(C33*$C$7/100))</f>
        <v>0.008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9</v>
      </c>
      <c r="T33" s="217" t="n">
        <f aca="false">IF(ISERROR(R33*I33*J33),0,R33*I33*J33)</f>
        <v>18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POTBER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406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87</v>
      </c>
      <c r="B34" s="224" t="n">
        <v>0.01</v>
      </c>
      <c r="C34" s="225" t="n">
        <v>0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Scirpus lacustris</v>
      </c>
      <c r="E34" s="226" t="e">
        <f aca="false">IF(D34="",0,VLOOKUP(D34,D$22:D33,1,0))</f>
        <v>#N/A</v>
      </c>
      <c r="F34" s="230" t="n">
        <f aca="false">($B34*$B$7+$C34*$C$7)/100</f>
        <v>0.008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8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Scirpus lacustris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1520</v>
      </c>
      <c r="Q34" s="216" t="n">
        <f aca="false">IF(ISTEXT(H34),"",(B34*$B$7/100)+(C34*$C$7/100))</f>
        <v>0.008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8</v>
      </c>
      <c r="T34" s="217" t="n">
        <f aca="false">IF(ISERROR(R34*I34*J34),0,R34*I34*J34)</f>
        <v>16</v>
      </c>
      <c r="U34" s="229" t="n">
        <f aca="false">IF(ISERROR(R34*J34),0,R34*J34)</f>
        <v>2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SCILAC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663</v>
      </c>
      <c r="AA34" s="221"/>
      <c r="AB34" s="222" t="s">
        <v>88</v>
      </c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/>
      <c r="C35" s="225" t="n">
        <v>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0" t="n">
        <f aca="false">($B35*$B$7+$C35*$C$7)/100</f>
        <v>0.2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Jungermannia exsertifolia</v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 t="s">
        <v>90</v>
      </c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0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0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0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0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0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0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0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0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0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IF(D45="",0,VLOOKUP(D45,D$22:D38,1,0))</f>
        <v>0</v>
      </c>
      <c r="F45" s="230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IF(D46="",0,VLOOKUP(D46,D$22:D38,1,0))</f>
        <v>0</v>
      </c>
      <c r="F46" s="230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0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IF(D48="",0,VLOOKUP(D48,D$22:D47,1,0))</f>
        <v>0</v>
      </c>
      <c r="F48" s="230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0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0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0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0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0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0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0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IF(D56="",0,VLOOKUP(D56,D$21:D55,1,0))</f>
        <v>0</v>
      </c>
      <c r="F56" s="230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X56" s="231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IF(D57="",0,VLOOKUP(D57,D$22:D56,1,0))</f>
        <v>0</v>
      </c>
      <c r="F57" s="230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0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32"/>
      <c r="M58" s="232"/>
      <c r="N58" s="232"/>
      <c r="O58" s="214"/>
      <c r="P58" s="23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0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4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0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8"/>
      <c r="M60" s="228"/>
      <c r="N60" s="228"/>
      <c r="O60" s="214"/>
      <c r="P60" s="21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0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X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 t="n">
        <v>0</v>
      </c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0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34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0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0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0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0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0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0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0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0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0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0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0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0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0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0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0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0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0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0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0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FURANS</v>
      </c>
      <c r="B84" s="259" t="str">
        <f aca="false">C3</f>
        <v>FURANS A BELLEY</v>
      </c>
      <c r="C84" s="260" t="n">
        <f aca="false">A4</f>
        <v>41472</v>
      </c>
      <c r="D84" s="261" t="n">
        <f aca="false">IF(ISERROR(SUM($T$23:$T$82)/SUM($U$23:$U$82)),"",SUM($T$23:$T$82)/SUM($U$23:$U$82))</f>
        <v>12.2941176470588</v>
      </c>
      <c r="E84" s="262" t="n">
        <f aca="false">N13</f>
        <v>13</v>
      </c>
      <c r="F84" s="259" t="n">
        <f aca="false">N14</f>
        <v>11</v>
      </c>
      <c r="G84" s="259" t="n">
        <f aca="false">N15</f>
        <v>4</v>
      </c>
      <c r="H84" s="259" t="n">
        <f aca="false">N16</f>
        <v>7</v>
      </c>
      <c r="I84" s="259" t="n">
        <f aca="false">N17</f>
        <v>0</v>
      </c>
      <c r="J84" s="263" t="n">
        <f aca="false">N8</f>
        <v>10.9090909090909</v>
      </c>
      <c r="K84" s="261" t="n">
        <f aca="false">N9</f>
        <v>3.65450022586214</v>
      </c>
      <c r="L84" s="262" t="n">
        <f aca="false">N10</f>
        <v>4</v>
      </c>
      <c r="M84" s="262" t="n">
        <f aca="false">N11</f>
        <v>15</v>
      </c>
      <c r="N84" s="261" t="n">
        <f aca="false">O8</f>
        <v>1.63636363636364</v>
      </c>
      <c r="O84" s="261" t="n">
        <f aca="false">O9</f>
        <v>0.481045692920835</v>
      </c>
      <c r="P84" s="262" t="n">
        <f aca="false">O10</f>
        <v>1</v>
      </c>
      <c r="Q84" s="262" t="n">
        <f aca="false">O11</f>
        <v>2</v>
      </c>
      <c r="R84" s="262" t="n">
        <f aca="false">F21</f>
        <v>69.182</v>
      </c>
      <c r="S84" s="262" t="n">
        <f aca="false">K11</f>
        <v>0</v>
      </c>
      <c r="T84" s="262" t="n">
        <f aca="false">K12</f>
        <v>3</v>
      </c>
      <c r="U84" s="262" t="n">
        <f aca="false">K13</f>
        <v>7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93</v>
      </c>
      <c r="R87" s="10"/>
      <c r="S87" s="218" t="n">
        <f aca="false">VLOOKUP(MAX($S$23:$S$82),($S$23:$U$82),1,0)</f>
        <v>60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94</v>
      </c>
      <c r="R88" s="10"/>
      <c r="S88" s="218" t="n">
        <f aca="false">VLOOKUP((S87),($S$23:$U$82),2,0)</f>
        <v>120</v>
      </c>
      <c r="T88" s="10"/>
      <c r="U88" s="10"/>
      <c r="V88" s="10"/>
    </row>
    <row r="89" customFormat="false" ht="12.75" hidden="true" customHeight="false" outlineLevel="0" collapsed="false">
      <c r="Q89" s="10" t="s">
        <v>95</v>
      </c>
      <c r="R89" s="10"/>
      <c r="S89" s="218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96</v>
      </c>
      <c r="R90" s="10"/>
      <c r="S90" s="268" t="n">
        <f aca="false">IF(ISERROR(SUM($T$23:$T$82)/SUM($U$23:$U$82)),"",(SUM($T$23:$T$82)-S88)/(SUM($U$23:$U$82)-S89))</f>
        <v>11.4615384615385</v>
      </c>
      <c r="T90" s="10"/>
    </row>
    <row r="91" customFormat="false" ht="12.75" hidden="false" customHeight="false" outlineLevel="0" collapsed="false">
      <c r="Q91" s="217" t="s">
        <v>97</v>
      </c>
      <c r="R91" s="217"/>
      <c r="S91" s="217" t="str">
        <f aca="false">INDEX('[1]liste reference'!$A$8:$A$904,$T$91)</f>
        <v>CINAQU</v>
      </c>
      <c r="T91" s="10" t="n">
        <f aca="false">IF(ISERROR(MATCH($S$93,'[1]liste reference'!$A$8:$A$904,0)),MATCH($S$93,'[1]liste reference'!$B$8:$B$904,0),(MATCH($S$93,'[1]liste reference'!$A$8:$A$904,0)))</f>
        <v>170</v>
      </c>
      <c r="U91" s="257"/>
    </row>
    <row r="92" customFormat="false" ht="12.75" hidden="false" customHeight="false" outlineLevel="0" collapsed="false">
      <c r="Q92" s="10" t="s">
        <v>98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99</v>
      </c>
      <c r="R93" s="10"/>
      <c r="S93" s="217" t="str">
        <f aca="false">INDEX($A$23:$A$82,$S$92)</f>
        <v>CINAQU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2015-07-13T10:19:41Z</dcterms:created>
  <dc:creator>Laurent Bourgoin</dc:creator>
  <dc:description/>
  <dc:language>fr-FR</dc:language>
  <cp:lastModifiedBy>IMBERT Loïc</cp:lastModifiedBy>
  <dcterms:modified xsi:type="dcterms:W3CDTF">2015-08-04T14:34:58Z</dcterms:modified>
  <cp:revision>0</cp:revision>
  <dc:subject/>
  <dc:title/>
</cp:coreProperties>
</file>