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<sst xmlns="http://schemas.openxmlformats.org/spreadsheetml/2006/main" count="98" uniqueCount="93">
  <si>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</si>
  <si>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</si>
  <si>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</si>
  <si>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L.BOURGOIN M.SCHNEIDER</t>
  </si>
  <si>
    <t xml:space="preserve">conforme AFNOR T90-395 oct. 2003</t>
  </si>
  <si>
    <t xml:space="preserve">Ange</t>
  </si>
  <si>
    <t xml:space="preserve">Ange à Brion</t>
  </si>
  <si>
    <t xml:space="preserve">06086100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</si>
  <si>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</si>
  <si>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</si>
  <si>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</si>
  <si>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</si>
  <si>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</si>
  <si>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</si>
  <si>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</si>
  <si>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</si>
  <si>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CINDAN</t>
  </si>
  <si>
    <t xml:space="preserve">Faciès dominant</t>
  </si>
  <si>
    <t xml:space="preserve">plat courant</t>
  </si>
  <si>
    <t xml:space="preserve">plat lentique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</si>
  <si>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</si>
  <si>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</si>
  <si>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</si>
  <si>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</si>
  <si>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</si>
  <si>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</si>
  <si>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</si>
  <si>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</si>
  <si>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</si>
  <si>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</si>
  <si>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</si>
  <si>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</si>
  <si>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</si>
  <si>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</si>
  <si>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</si>
  <si>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</si>
  <si>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</si>
  <si>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</si>
  <si>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</si>
  <si>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</si>
  <si>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</si>
  <si>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</si>
  <si>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</si>
  <si>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</si>
  <si>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</si>
  <si>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</si>
  <si>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</si>
  <si>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</si>
  <si>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</si>
  <si>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</si>
  <si>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</si>
  <si>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</si>
  <si>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</si>
  <si>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</si>
  <si>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</si>
  <si>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</si>
  <si>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</si>
  <si>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</si>
  <si>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</si>
  <si>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</si>
  <si>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</si>
  <si>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</si>
  <si>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</si>
  <si>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</si>
  <si>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</si>
  <si>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</si>
  <si>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</si>
  <si>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</si>
  <si>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</si>
  <si>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</si>
  <si>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</si>
  <si>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</si>
  <si>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</si>
  <si>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</si>
  <si>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</si>
  <si>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</si>
  <si>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</si>
  <si>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</si>
  <si>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</si>
  <si>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VAUSPX</t>
  </si>
  <si>
    <t xml:space="preserve">AMBRIP</t>
  </si>
  <si>
    <t xml:space="preserve">CINFON</t>
  </si>
  <si>
    <t xml:space="preserve">FISCRA</t>
  </si>
  <si>
    <t xml:space="preserve">FONANT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</si>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</sst>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ANBRI_19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41809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9.95652173913044</v>
      </c>
      <c r="M5" s="53"/>
      <c r="N5" s="54" t="s">
        <v>16</v>
      </c>
      <c r="O5" s="55" t="n">
        <v>8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45</v>
      </c>
      <c r="C7" s="67" t="n">
        <v>55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8.85714285714286</v>
      </c>
      <c r="O8" s="84" t="n">
        <f aca="false">IF(ISERROR(AVERAGE(J23:J82)),"      -",AVERAGE(J23:J82))</f>
        <v>1.71428571428571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16.51</v>
      </c>
      <c r="C9" s="87" t="n">
        <v>11.52</v>
      </c>
      <c r="D9" s="88"/>
      <c r="E9" s="88"/>
      <c r="F9" s="89" t="n">
        <f aca="false">($B9*$B$7+$C9*$C$7)/100</f>
        <v>13.7655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3.48173074484398</v>
      </c>
      <c r="O9" s="84" t="n">
        <f aca="false">IF(ISERROR(STDEVP(J23:J82)),"      -",STDEVP(J23:J82))</f>
        <v>0.699854212223765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1.5</v>
      </c>
      <c r="C12" s="119" t="n">
        <v>10</v>
      </c>
      <c r="D12" s="111"/>
      <c r="E12" s="111"/>
      <c r="F12" s="112" t="n">
        <f aca="false">($B12*$B$7+$C12*$C$7)/100</f>
        <v>6.175</v>
      </c>
      <c r="G12" s="120"/>
      <c r="H12" s="68"/>
      <c r="I12" s="121" t="s">
        <v>39</v>
      </c>
      <c r="J12" s="121"/>
      <c r="K12" s="115" t="n">
        <f aca="false">COUNTIF($G$23:$G$82,"=ALG")</f>
        <v>2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15.01</v>
      </c>
      <c r="C13" s="119" t="n">
        <v>1.52</v>
      </c>
      <c r="D13" s="111"/>
      <c r="E13" s="111"/>
      <c r="F13" s="112" t="n">
        <f aca="false">($B13*$B$7+$C13*$C$7)/100</f>
        <v>7.5905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7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16.51</v>
      </c>
      <c r="C17" s="119" t="n">
        <v>11.52</v>
      </c>
      <c r="D17" s="111"/>
      <c r="E17" s="111"/>
      <c r="F17" s="143"/>
      <c r="G17" s="112" t="n">
        <f aca="false">($B17*$B$7+$C17*$C$7)/100</f>
        <v>13.7655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13.7655</v>
      </c>
      <c r="G19" s="156" t="n">
        <f aca="false">SUM(G16:G18)</f>
        <v>13.7655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16.51</v>
      </c>
      <c r="C20" s="166" t="n">
        <f aca="false">SUM(C23:C82)</f>
        <v>11.52</v>
      </c>
      <c r="D20" s="167"/>
      <c r="E20" s="168" t="s">
        <v>54</v>
      </c>
      <c r="F20" s="169" t="n">
        <f aca="false">($B20*$B$7+$C20*$C$7)/100</f>
        <v>13.7655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7.4295</v>
      </c>
      <c r="C21" s="179" t="n">
        <f aca="false">C20*C7/100</f>
        <v>6.336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13.7655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0.75</v>
      </c>
      <c r="C23" s="206" t="n">
        <v>0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0.3375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0.3375</v>
      </c>
      <c r="R23" s="217" t="n">
        <f aca="false">IF(OR(ISTEXT(H23),Q23=0),"",IF(Q23&lt;0.1,1,IF(Q23&lt;1,2,IF(Q23&lt;10,3,IF(Q23&lt;50,4,IF(Q23&gt;=50,5,""))))))</f>
        <v>2</v>
      </c>
      <c r="S23" s="217" t="n">
        <f aca="false">IF(ISERROR(R23*I23),0,R23*I23)</f>
        <v>12</v>
      </c>
      <c r="T23" s="217" t="n">
        <f aca="false">IF(ISERROR(R23*I23*J23),0,R23*I23*J23)</f>
        <v>12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0.75</v>
      </c>
      <c r="C24" s="225" t="n">
        <v>10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Vaucheria sp.</v>
      </c>
      <c r="E24" s="226" t="e">
        <f aca="false">IF(D24="",0,VLOOKUP(D24,D$22:D23,1,0))</f>
        <v>#N/A</v>
      </c>
      <c r="F24" s="227" t="n">
        <f aca="false">($B24*$B$7+$C24*$C$7)/100</f>
        <v>5.8375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4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Vaucheria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6193</v>
      </c>
      <c r="Q24" s="216" t="n">
        <f aca="false">IF(ISTEXT(H24),"",(B24*$B$7/100)+(C24*$C$7/100))</f>
        <v>5.8375</v>
      </c>
      <c r="R24" s="217" t="n">
        <f aca="false">IF(OR(ISTEXT(H24),Q24=0),"",IF(Q24&lt;0.1,1,IF(Q24&lt;1,2,IF(Q24&lt;10,3,IF(Q24&lt;50,4,IF(Q24&gt;=50,5,""))))))</f>
        <v>3</v>
      </c>
      <c r="S24" s="217" t="n">
        <f aca="false">IF(ISERROR(R24*I24),0,R24*I24)</f>
        <v>12</v>
      </c>
      <c r="T24" s="217" t="n">
        <f aca="false">IF(ISERROR(R24*I24*J24),0,R24*I24*J24)</f>
        <v>12</v>
      </c>
      <c r="U24" s="229" t="n">
        <f aca="false">IF(ISERROR(R24*J24),0,R24*J24)</f>
        <v>3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VAUSPX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82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</v>
      </c>
      <c r="C25" s="225" t="n">
        <v>0.01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Amblystegium riparium</v>
      </c>
      <c r="E25" s="226" t="e">
        <f aca="false">IF(D25="",0,VLOOKUP(D25,D$22:D24,1,0))</f>
        <v>#N/A</v>
      </c>
      <c r="F25" s="227" t="n">
        <f aca="false">($B25*$B$7+$C25*$C$7)/100</f>
        <v>0.0055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BRm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5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5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Amblystegium riparium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1219</v>
      </c>
      <c r="Q25" s="216" t="n">
        <f aca="false">IF(ISTEXT(H25),"",(B25*$B$7/100)+(C25*$C$7/100))</f>
        <v>0.0055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5</v>
      </c>
      <c r="T25" s="217" t="n">
        <f aca="false">IF(ISERROR(R25*I25*J25),0,R25*I25*J25)</f>
        <v>10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AMBRIP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148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16</v>
      </c>
      <c r="B26" s="224" t="n">
        <v>13</v>
      </c>
      <c r="C26" s="225" t="n">
        <v>0.75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Cinclidotus danubicus</v>
      </c>
      <c r="E26" s="226" t="e">
        <f aca="false">IF(D26="",0,VLOOKUP(D26,D$22:D25,1,0))</f>
        <v>#N/A</v>
      </c>
      <c r="F26" s="227" t="n">
        <f aca="false">($B26*$B$7+$C26*$C$7)/100</f>
        <v>6.2625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13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3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Cinclidotus danubicus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1319</v>
      </c>
      <c r="Q26" s="216" t="n">
        <f aca="false">IF(ISTEXT(H26),"",(B26*$B$7/100)+(C26*$C$7/100))</f>
        <v>6.2625</v>
      </c>
      <c r="R26" s="217" t="n">
        <f aca="false">IF(OR(ISTEXT(H26),Q26=0),"",IF(Q26&lt;0.1,1,IF(Q26&lt;1,2,IF(Q26&lt;10,3,IF(Q26&lt;50,4,IF(Q26&gt;=50,5,""))))))</f>
        <v>3</v>
      </c>
      <c r="S26" s="217" t="n">
        <f aca="false">IF(ISERROR(R26*I26),0,R26*I26)</f>
        <v>39</v>
      </c>
      <c r="T26" s="217" t="n">
        <f aca="false">IF(ISERROR(R26*I26*J26),0,R26*I26*J26)</f>
        <v>117</v>
      </c>
      <c r="U26" s="229" t="n">
        <f aca="false">IF(ISERROR(R26*J26),0,R26*J26)</f>
        <v>9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CINDAN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171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0.01</v>
      </c>
      <c r="C27" s="225" t="n">
        <v>0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Cinclidotus fontinaloides</v>
      </c>
      <c r="E27" s="226" t="e">
        <f aca="false">IF(D27="",0,VLOOKUP(D27,D$22:D26,1,0))</f>
        <v>#N/A</v>
      </c>
      <c r="F27" s="227" t="n">
        <f aca="false">($B27*$B$7+$C27*$C$7)/100</f>
        <v>0.0045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12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Cinclidotus fontinaloides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1320</v>
      </c>
      <c r="Q27" s="216" t="n">
        <f aca="false">IF(ISTEXT(H27),"",(B27*$B$7/100)+(C27*$C$7/100))</f>
        <v>0.0045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12</v>
      </c>
      <c r="T27" s="217" t="n">
        <f aca="false">IF(ISERROR(R27*I27*J27),0,R27*I27*J27)</f>
        <v>24</v>
      </c>
      <c r="U27" s="229" t="n">
        <f aca="false">IF(ISERROR(R27*J27),0,R27*J27)</f>
        <v>2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CINFON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172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</v>
      </c>
      <c r="C28" s="225" t="n">
        <v>0.01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Fissidens crassipes</v>
      </c>
      <c r="E28" s="226" t="e">
        <f aca="false">IF(D28="",0,VLOOKUP(D28,D$22:D27,1,0))</f>
        <v>#N/A</v>
      </c>
      <c r="F28" s="227" t="n">
        <f aca="false">($B28*$B$7+$C28*$C$7)/100</f>
        <v>0.0055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1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12</v>
      </c>
      <c r="J28" s="211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2</v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Fissidens crassipes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1294</v>
      </c>
      <c r="Q28" s="216" t="n">
        <f aca="false">IF(ISTEXT(H28),"",(B28*$B$7/100)+(C28*$C$7/100))</f>
        <v>0.0055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12</v>
      </c>
      <c r="T28" s="217" t="n">
        <f aca="false">IF(ISERROR(R28*I28*J28),0,R28*I28*J28)</f>
        <v>24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FISCRA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197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2</v>
      </c>
      <c r="C29" s="225" t="n">
        <v>0.75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Fontinalis antipyretica</v>
      </c>
      <c r="E29" s="226" t="e">
        <f aca="false">IF(D29="",0,VLOOKUP(D29,D$22:D28,1,0))</f>
        <v>#N/A</v>
      </c>
      <c r="F29" s="227" t="n">
        <f aca="false">($B29*$B$7+$C29*$C$7)/100</f>
        <v>1.3125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10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Fontinalis antipyretica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1310</v>
      </c>
      <c r="Q29" s="216" t="n">
        <f aca="false">IF(ISTEXT(H29),"",(B29*$B$7/100)+(C29*$C$7/100))</f>
        <v>1.3125</v>
      </c>
      <c r="R29" s="217" t="n">
        <f aca="false">IF(OR(ISTEXT(H29),Q29=0),"",IF(Q29&lt;0.1,1,IF(Q29&lt;1,2,IF(Q29&lt;10,3,IF(Q29&lt;50,4,IF(Q29&gt;=50,5,""))))))</f>
        <v>3</v>
      </c>
      <c r="S29" s="217" t="n">
        <f aca="false">IF(ISERROR(R29*I29),0,R29*I29)</f>
        <v>30</v>
      </c>
      <c r="T29" s="217" t="n">
        <f aca="false">IF(ISERROR(R29*I29*J29),0,R29*I29*J29)</f>
        <v>30</v>
      </c>
      <c r="U29" s="229" t="n">
        <f aca="false">IF(ISERROR(R29*J29),0,R29*J29)</f>
        <v>3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FONANT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210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/>
      <c r="B30" s="224"/>
      <c r="C30" s="225"/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6" t="n">
        <f aca="false">IF(D30="",0,VLOOKUP(D30,D$22:D29,1,0))</f>
        <v>0</v>
      </c>
      <c r="F30" s="227" t="n">
        <f aca="false">($B30*$B$7+$C30*$C$7)/100</f>
        <v>0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10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1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1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1"/>
      <c r="AB30" s="222"/>
      <c r="AC30" s="222"/>
      <c r="BB30" s="10" t="str">
        <f aca="false">IF(A30="","",1)</f>
        <v/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Ange</v>
      </c>
      <c r="B84" s="259" t="str">
        <f aca="false">C3</f>
        <v>Ange à Brion</v>
      </c>
      <c r="C84" s="260" t="n">
        <f aca="false">A4</f>
        <v>41809</v>
      </c>
      <c r="D84" s="261" t="n">
        <f aca="false">IF(ISERROR(SUM($T$23:$T$82)/SUM($U$23:$U$82)),"",SUM($T$23:$T$82)/SUM($U$23:$U$82))</f>
        <v>9.95652173913044</v>
      </c>
      <c r="E84" s="262" t="n">
        <f aca="false">N13</f>
        <v>7</v>
      </c>
      <c r="F84" s="259" t="n">
        <f aca="false">N14</f>
        <v>7</v>
      </c>
      <c r="G84" s="259" t="n">
        <f aca="false">N15</f>
        <v>3</v>
      </c>
      <c r="H84" s="259" t="n">
        <f aca="false">N16</f>
        <v>3</v>
      </c>
      <c r="I84" s="259" t="n">
        <f aca="false">N17</f>
        <v>1</v>
      </c>
      <c r="J84" s="263" t="n">
        <f aca="false">N8</f>
        <v>8.85714285714286</v>
      </c>
      <c r="K84" s="261" t="n">
        <f aca="false">N9</f>
        <v>3.48173074484398</v>
      </c>
      <c r="L84" s="262" t="n">
        <f aca="false">N10</f>
        <v>4</v>
      </c>
      <c r="M84" s="262" t="n">
        <f aca="false">N11</f>
        <v>13</v>
      </c>
      <c r="N84" s="261" t="n">
        <f aca="false">O8</f>
        <v>1.71428571428571</v>
      </c>
      <c r="O84" s="261" t="n">
        <f aca="false">O9</f>
        <v>0.699854212223765</v>
      </c>
      <c r="P84" s="262" t="n">
        <f aca="false">O10</f>
        <v>1</v>
      </c>
      <c r="Q84" s="262" t="n">
        <f aca="false">O11</f>
        <v>3</v>
      </c>
      <c r="R84" s="262" t="n">
        <f aca="false">F21</f>
        <v>13.7655</v>
      </c>
      <c r="S84" s="262" t="n">
        <f aca="false">K11</f>
        <v>0</v>
      </c>
      <c r="T84" s="262" t="n">
        <f aca="false">K12</f>
        <v>2</v>
      </c>
      <c r="U84" s="262" t="n">
        <f aca="false">K13</f>
        <v>5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85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86</v>
      </c>
      <c r="R87" s="10"/>
      <c r="S87" s="218" t="n">
        <f aca="false">VLOOKUP(MAX($S$23:$S$82),($S$23:$U$82),1,0)</f>
        <v>39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87</v>
      </c>
      <c r="R88" s="10"/>
      <c r="S88" s="218" t="n">
        <f aca="false">VLOOKUP((S87),($S$23:$U$82),2,0)</f>
        <v>117</v>
      </c>
      <c r="T88" s="10"/>
      <c r="U88" s="10"/>
      <c r="V88" s="10"/>
    </row>
    <row r="89" customFormat="false" ht="12.75" hidden="true" customHeight="false" outlineLevel="0" collapsed="false">
      <c r="Q89" s="10" t="s">
        <v>88</v>
      </c>
      <c r="R89" s="10"/>
      <c r="S89" s="218" t="n">
        <f aca="false">VLOOKUP((S87),($S$23:$U$82),3,0)</f>
        <v>9</v>
      </c>
      <c r="T89" s="10"/>
    </row>
    <row r="90" customFormat="false" ht="12.75" hidden="false" customHeight="false" outlineLevel="0" collapsed="false">
      <c r="Q90" s="10" t="s">
        <v>89</v>
      </c>
      <c r="R90" s="10"/>
      <c r="S90" s="268" t="n">
        <f aca="false">IF(ISERROR(SUM($T$23:$T$82)/SUM($U$23:$U$82)),"",(SUM($T$23:$T$82)-S88)/(SUM($U$23:$U$82)-S89))</f>
        <v>8</v>
      </c>
      <c r="T90" s="10"/>
    </row>
    <row r="91" customFormat="false" ht="12.75" hidden="false" customHeight="false" outlineLevel="0" collapsed="false">
      <c r="Q91" s="217" t="s">
        <v>90</v>
      </c>
      <c r="R91" s="217"/>
      <c r="S91" s="217" t="str">
        <f aca="false">INDEX('[2]liste reference'!$A$8:$A$904,$T$91)</f>
        <v>CINDAN</v>
      </c>
      <c r="T91" s="10" t="n">
        <f aca="false">IF(ISERROR(MATCH($S$93,'[2]liste reference'!$A$8:$A$904,0)),MATCH($S$93,'[2]liste reference'!$B$8:$B$904,0),(MATCH($S$93,'[2]liste reference'!$A$8:$A$904,0)))</f>
        <v>171</v>
      </c>
      <c r="U91" s="257"/>
    </row>
    <row r="92" customFormat="false" ht="12.75" hidden="false" customHeight="false" outlineLevel="0" collapsed="false">
      <c r="Q92" s="10" t="s">
        <v>91</v>
      </c>
      <c r="R92" s="10"/>
      <c r="S92" s="10" t="n">
        <f aca="false">MATCH(S87,$S$23:$S$82,0)</f>
        <v>4</v>
      </c>
      <c r="T92" s="10"/>
    </row>
    <row r="93" customFormat="false" ht="12.75" hidden="false" customHeight="false" outlineLevel="0" collapsed="false">
      <c r="Q93" s="217" t="s">
        <v>92</v>
      </c>
      <c r="R93" s="10"/>
      <c r="S93" s="217" t="str">
        <f aca="false">INDEX($A$23:$A$82,$S$92)</f>
        <v>CINDAN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2014-12-19T16:03:06Z</dcterms:created>
  <dc:creator>Laurent Bourgoin</dc:creator>
  <dc:description/>
  <dc:language>fr-FR</dc:language>
  <cp:lastModifiedBy>Laurent Bourgoin</cp:lastModifiedBy>
  <dcterms:modified xsi:type="dcterms:W3CDTF">2014-12-19T16:03:13Z</dcterms:modified>
  <cp:revision>0</cp:revision>
  <dc:subject/>
  <dc:title/>
</cp:coreProperties>
</file>