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<sst xmlns="http://schemas.openxmlformats.org/spreadsheetml/2006/main" count="98" uniqueCount="93">
  <si>
    <t xml:space="preserve">Relevés floristiques aquatiques - IBMR</t>
  </si>
  <si>
    <t xml:space="preserve">Formulaire modèle GIS Macrophytes v 3.3 - novembre 2013  </t>
  </si>
  <si>
    <t xml:space="preserve">SAGE ENVIRONNEMENT </t>
  </si>
  <si>
    <t xml:space="preserve">L.ISEBE P.BELLY</t>
  </si>
  <si>
    <t xml:space="preserve">conforme AFNOR T90-395 oct. 2003</t>
  </si>
  <si>
    <t xml:space="preserve">GERE</t>
  </si>
  <si>
    <t xml:space="preserve">GERE A VIENNE</t>
  </si>
  <si>
    <t xml:space="preserve">06100000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</si>
  <si>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</si>
  <si>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</si>
  <si>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</si>
  <si>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</si>
  <si>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</si>
  <si>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</si>
  <si>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</si>
  <si>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</si>
  <si>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CINDAN</t>
  </si>
  <si>
    <t xml:space="preserve">Faciès dominant</t>
  </si>
  <si>
    <t xml:space="preserve">plat courant</t>
  </si>
  <si>
    <t xml:space="preserve">plat lentique</t>
  </si>
  <si>
    <t xml:space="preserve">niv. trophique:</t>
  </si>
  <si>
    <t xml:space="preserve">moyen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</si>
  <si>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</si>
  <si>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</si>
  <si>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</si>
  <si>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</si>
  <si>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</si>
  <si>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</si>
  <si>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</si>
  <si>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</si>
  <si>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</si>
  <si>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</si>
  <si>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</si>
  <si>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</si>
  <si>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</si>
  <si>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</si>
  <si>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</si>
  <si>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</si>
  <si>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</si>
  <si>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</si>
  <si>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</si>
  <si>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</si>
  <si>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</si>
  <si>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</si>
  <si>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</si>
  <si>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</si>
  <si>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</si>
  <si>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</si>
  <si>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</si>
  <si>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</si>
  <si>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</si>
  <si>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</si>
  <si>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</si>
  <si>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</si>
  <si>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</si>
  <si>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</si>
  <si>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</si>
  <si>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</si>
  <si>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</si>
  <si>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</si>
  <si>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</si>
  <si>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</si>
  <si>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</si>
  <si>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</si>
  <si>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</si>
  <si>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</si>
  <si>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</si>
  <si>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</si>
  <si>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</si>
  <si>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</si>
  <si>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</si>
  <si>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</si>
  <si>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</si>
  <si>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</si>
  <si>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</si>
  <si>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</si>
  <si>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</si>
  <si>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</si>
  <si>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</si>
  <si>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VAUSPX</t>
  </si>
  <si>
    <t xml:space="preserve">PELEND</t>
  </si>
  <si>
    <t xml:space="preserve">FISCRA</t>
  </si>
  <si>
    <t xml:space="preserve">LYCEUR</t>
  </si>
  <si>
    <t xml:space="preserve">IMPGLA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</si>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</sst>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7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8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GREVI_02-09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domntade.eaurmc.fr/aermc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41884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10.5652173913043</v>
      </c>
      <c r="M5" s="53"/>
      <c r="N5" s="54" t="s">
        <v>16</v>
      </c>
      <c r="O5" s="55" t="n">
        <v>7.90909090909091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95</v>
      </c>
      <c r="C7" s="67" t="n">
        <v>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9.2</v>
      </c>
      <c r="O8" s="84" t="n">
        <f aca="false">IF(ISERROR(AVERAGE(J23:J82)),"      -",AVERAGE(J23:J82))</f>
        <v>1.6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62</v>
      </c>
      <c r="C9" s="87" t="n">
        <v>0.04</v>
      </c>
      <c r="D9" s="88"/>
      <c r="E9" s="88"/>
      <c r="F9" s="89" t="n">
        <f aca="false">($B9*$B$7+$C9*$C$7)/100</f>
        <v>58.902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3.54400902933387</v>
      </c>
      <c r="O9" s="84" t="n">
        <f aca="false">IF(ISERROR(STDEVP(J23:J82)),"      -",STDEVP(J23:J82))</f>
        <v>0.8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13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21</v>
      </c>
      <c r="C12" s="119" t="n">
        <v>0.01</v>
      </c>
      <c r="D12" s="111"/>
      <c r="E12" s="111"/>
      <c r="F12" s="112" t="n">
        <f aca="false">($B12*$B$7+$C12*$C$7)/100</f>
        <v>19.9505</v>
      </c>
      <c r="G12" s="120"/>
      <c r="H12" s="68"/>
      <c r="I12" s="121" t="s">
        <v>39</v>
      </c>
      <c r="J12" s="121"/>
      <c r="K12" s="115" t="n">
        <f aca="false">COUNTIF($G$23:$G$82,"=ALG")</f>
        <v>2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41</v>
      </c>
      <c r="C13" s="119" t="n">
        <v>0.01</v>
      </c>
      <c r="D13" s="111"/>
      <c r="E13" s="111"/>
      <c r="F13" s="112" t="n">
        <f aca="false">($B13*$B$7+$C13*$C$7)/100</f>
        <v>38.9505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3</v>
      </c>
      <c r="L13" s="116"/>
      <c r="M13" s="127" t="s">
        <v>42</v>
      </c>
      <c r="N13" s="128" t="n">
        <f aca="false">COUNTIF(F23:F82,"&gt;0")</f>
        <v>7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5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 t="n">
        <v>0.02</v>
      </c>
      <c r="D15" s="111"/>
      <c r="E15" s="111"/>
      <c r="F15" s="112" t="n">
        <f aca="false">($B15*$B$7+$C15*$C$7)/100</f>
        <v>0.001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2</v>
      </c>
      <c r="L15" s="116"/>
      <c r="M15" s="137" t="s">
        <v>48</v>
      </c>
      <c r="N15" s="138" t="n">
        <f aca="false">COUNTIF(J23:J82,"=1")</f>
        <v>3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1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62</v>
      </c>
      <c r="C17" s="119" t="n">
        <v>0.02</v>
      </c>
      <c r="D17" s="111"/>
      <c r="E17" s="111"/>
      <c r="F17" s="143"/>
      <c r="G17" s="112" t="n">
        <f aca="false">($B17*$B$7+$C17*$C$7)/100</f>
        <v>58.901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1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 t="n">
        <v>0.02</v>
      </c>
      <c r="D18" s="111"/>
      <c r="E18" s="147" t="s">
        <v>54</v>
      </c>
      <c r="F18" s="143"/>
      <c r="G18" s="112" t="n">
        <f aca="false">($B18*$B$7+$C18*$C$7)/100</f>
        <v>0.001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58.902</v>
      </c>
      <c r="G19" s="156" t="n">
        <f aca="false">SUM(G16:G18)</f>
        <v>58.902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62</v>
      </c>
      <c r="C20" s="166" t="n">
        <f aca="false">SUM(C23:C82)</f>
        <v>0.04</v>
      </c>
      <c r="D20" s="167"/>
      <c r="E20" s="168" t="s">
        <v>54</v>
      </c>
      <c r="F20" s="169" t="n">
        <f aca="false">($B20*$B$7+$C20*$C$7)/100</f>
        <v>58.902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58.9</v>
      </c>
      <c r="C21" s="179" t="n">
        <f aca="false">C20*C7/100</f>
        <v>0.002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58.902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2" t="s">
        <v>77</v>
      </c>
    </row>
    <row r="23" customFormat="false" ht="12.75" hidden="false" customHeight="false" outlineLevel="0" collapsed="false">
      <c r="A23" s="203" t="s">
        <v>78</v>
      </c>
      <c r="B23" s="204" t="n">
        <v>1</v>
      </c>
      <c r="C23" s="205" t="n">
        <v>0</v>
      </c>
      <c r="D23" s="206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Cladophora sp.</v>
      </c>
      <c r="E23" s="206" t="e">
        <f aca="false">IF(D23="",0,VLOOKUP(D23,D$22:D22,1,0))</f>
        <v>#N/A</v>
      </c>
      <c r="F23" s="207" t="n">
        <f aca="false">($B23*$B$7+$C23*$C$7)/100</f>
        <v>0.95</v>
      </c>
      <c r="G23" s="208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09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0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6</v>
      </c>
      <c r="J23" s="210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1</v>
      </c>
      <c r="K23" s="211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Cladophora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1124</v>
      </c>
      <c r="Q23" s="215" t="n">
        <f aca="false">IF(ISTEXT(H23),"",(B23*$B$7/100)+(C23*$C$7/100))</f>
        <v>0.95</v>
      </c>
      <c r="R23" s="216" t="n">
        <f aca="false">IF(OR(ISTEXT(H23),Q23=0),"",IF(Q23&lt;0.1,1,IF(Q23&lt;1,2,IF(Q23&lt;10,3,IF(Q23&lt;50,4,IF(Q23&gt;=50,5,""))))))</f>
        <v>2</v>
      </c>
      <c r="S23" s="216" t="n">
        <f aca="false">IF(ISERROR(R23*I23),0,R23*I23)</f>
        <v>12</v>
      </c>
      <c r="T23" s="216" t="n">
        <f aca="false">IF(ISERROR(R23*I23*J23),0,R23*I23*J23)</f>
        <v>12</v>
      </c>
      <c r="U23" s="216" t="n">
        <f aca="false">IF(ISERROR(R23*J23),0,R23*J23)</f>
        <v>2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IF(A23="new.cod","NEWCOD",IF(AND((Z23=""),ISTEXT(A23)),A23,IF(Z23="","",INDEX('[2]liste reference'!$A$8:$A$904,Z23))))</f>
        <v>CLASPX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23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79</v>
      </c>
      <c r="B24" s="223" t="n">
        <v>20</v>
      </c>
      <c r="C24" s="224" t="n">
        <v>0.01</v>
      </c>
      <c r="D24" s="206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Vaucheria sp.</v>
      </c>
      <c r="E24" s="225" t="e">
        <f aca="false">IF(D24="",0,VLOOKUP(D24,D$22:D23,1,0))</f>
        <v>#N/A</v>
      </c>
      <c r="F24" s="226" t="n">
        <f aca="false">($B24*$B$7+$C24*$C$7)/100</f>
        <v>19.0005</v>
      </c>
      <c r="G24" s="208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09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0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4</v>
      </c>
      <c r="J24" s="210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1</v>
      </c>
      <c r="K24" s="211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Vaucheria sp.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6193</v>
      </c>
      <c r="Q24" s="215" t="n">
        <f aca="false">IF(ISTEXT(H24),"",(B24*$B$7/100)+(C24*$C$7/100))</f>
        <v>19.0005</v>
      </c>
      <c r="R24" s="216" t="n">
        <f aca="false">IF(OR(ISTEXT(H24),Q24=0),"",IF(Q24&lt;0.1,1,IF(Q24&lt;1,2,IF(Q24&lt;10,3,IF(Q24&lt;50,4,IF(Q24&gt;=50,5,""))))))</f>
        <v>4</v>
      </c>
      <c r="S24" s="216" t="n">
        <f aca="false">IF(ISERROR(R24*I24),0,R24*I24)</f>
        <v>16</v>
      </c>
      <c r="T24" s="216" t="n">
        <f aca="false">IF(ISERROR(R24*I24*J24),0,R24*I24*J24)</f>
        <v>16</v>
      </c>
      <c r="U24" s="228" t="n">
        <f aca="false">IF(ISERROR(R24*J24),0,R24*J24)</f>
        <v>4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IF(A24="new.cod","NEWCOD",IF(AND((Z24=""),ISTEXT(A24)),A24,IF(Z24="","",INDEX('[2]liste reference'!$A$8:$A$904,Z24))))</f>
        <v>VAUSPX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82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80</v>
      </c>
      <c r="B25" s="223" t="n">
        <v>0</v>
      </c>
      <c r="C25" s="224" t="n">
        <v>0.01</v>
      </c>
      <c r="D25" s="206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Pellia endiviifolia</v>
      </c>
      <c r="E25" s="225" t="e">
        <f aca="false">IF(D25="",0,VLOOKUP(D25,D$22:D24,1,0))</f>
        <v>#N/A</v>
      </c>
      <c r="F25" s="226" t="n">
        <f aca="false">($B25*$B$7+$C25*$C$7)/100</f>
        <v>0.0005</v>
      </c>
      <c r="G25" s="208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BRh</v>
      </c>
      <c r="H25" s="209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4</v>
      </c>
      <c r="I25" s="210" t="str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/>
      </c>
      <c r="J25" s="210" t="str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/>
      </c>
      <c r="K25" s="211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Pellia endiviifolia</v>
      </c>
      <c r="L25" s="227"/>
      <c r="M25" s="227"/>
      <c r="N25" s="227"/>
      <c r="O25" s="213"/>
      <c r="P25" s="214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1197</v>
      </c>
      <c r="Q25" s="215" t="n">
        <f aca="false">IF(ISTEXT(H25),"",(B25*$B$7/100)+(C25*$C$7/100))</f>
        <v>0.0005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0</v>
      </c>
      <c r="T25" s="216" t="n">
        <f aca="false">IF(ISERROR(R25*I25*J25),0,R25*I25*J25)</f>
        <v>0</v>
      </c>
      <c r="U25" s="228" t="n">
        <f aca="false">IF(ISERROR(R25*J25),0,R25*J25)</f>
        <v>0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IF(A25="new.cod","NEWCOD",IF(AND((Z25=""),ISTEXT(A25)),A25,IF(Z25="","",INDEX('[2]liste reference'!$A$8:$A$904,Z25))))</f>
        <v>PELEND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120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 t="s">
        <v>16</v>
      </c>
      <c r="B26" s="223" t="n">
        <v>40</v>
      </c>
      <c r="C26" s="224" t="n">
        <v>0</v>
      </c>
      <c r="D26" s="206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Cinclidotus danubicus</v>
      </c>
      <c r="E26" s="225" t="e">
        <f aca="false">IF(D26="",0,VLOOKUP(D26,D$22:D25,1,0))</f>
        <v>#N/A</v>
      </c>
      <c r="F26" s="226" t="n">
        <f aca="false">($B26*$B$7+$C26*$C$7)/100</f>
        <v>38</v>
      </c>
      <c r="G26" s="208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BRm</v>
      </c>
      <c r="H26" s="209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5</v>
      </c>
      <c r="I26" s="210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13</v>
      </c>
      <c r="J26" s="210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3</v>
      </c>
      <c r="K26" s="211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Cinclidotus danubicus</v>
      </c>
      <c r="L26" s="227"/>
      <c r="M26" s="227"/>
      <c r="N26" s="227"/>
      <c r="O26" s="213"/>
      <c r="P26" s="214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1319</v>
      </c>
      <c r="Q26" s="215" t="n">
        <f aca="false">IF(ISTEXT(H26),"",(B26*$B$7/100)+(C26*$C$7/100))</f>
        <v>38</v>
      </c>
      <c r="R26" s="216" t="n">
        <f aca="false">IF(OR(ISTEXT(H26),Q26=0),"",IF(Q26&lt;0.1,1,IF(Q26&lt;1,2,IF(Q26&lt;10,3,IF(Q26&lt;50,4,IF(Q26&gt;=50,5,""))))))</f>
        <v>4</v>
      </c>
      <c r="S26" s="216" t="n">
        <f aca="false">IF(ISERROR(R26*I26),0,R26*I26)</f>
        <v>52</v>
      </c>
      <c r="T26" s="216" t="n">
        <f aca="false">IF(ISERROR(R26*I26*J26),0,R26*I26*J26)</f>
        <v>156</v>
      </c>
      <c r="U26" s="228" t="n">
        <f aca="false">IF(ISERROR(R26*J26),0,R26*J26)</f>
        <v>12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IF(A26="new.cod","NEWCOD",IF(AND((Z26=""),ISTEXT(A26)),A26,IF(Z26="","",INDEX('[2]liste reference'!$A$8:$A$904,Z26))))</f>
        <v>CINDAN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171</v>
      </c>
      <c r="AA26" s="220"/>
      <c r="AB26" s="221"/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22" t="s">
        <v>81</v>
      </c>
      <c r="B27" s="223" t="n">
        <v>1</v>
      </c>
      <c r="C27" s="224" t="n">
        <v>0</v>
      </c>
      <c r="D27" s="206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Fissidens crassipes</v>
      </c>
      <c r="E27" s="225" t="e">
        <f aca="false">IF(D27="",0,VLOOKUP(D27,D$22:D26,1,0))</f>
        <v>#N/A</v>
      </c>
      <c r="F27" s="226" t="n">
        <f aca="false">($B27*$B$7+$C27*$C$7)/100</f>
        <v>0.95</v>
      </c>
      <c r="G27" s="208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BRm</v>
      </c>
      <c r="H27" s="209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5</v>
      </c>
      <c r="I27" s="210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12</v>
      </c>
      <c r="J27" s="210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2</v>
      </c>
      <c r="K27" s="211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Fissidens crassipes</v>
      </c>
      <c r="L27" s="227"/>
      <c r="M27" s="227"/>
      <c r="N27" s="227"/>
      <c r="O27" s="213"/>
      <c r="P27" s="214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1294</v>
      </c>
      <c r="Q27" s="215" t="n">
        <f aca="false">IF(ISTEXT(H27),"",(B27*$B$7/100)+(C27*$C$7/100))</f>
        <v>0.95</v>
      </c>
      <c r="R27" s="216" t="n">
        <f aca="false">IF(OR(ISTEXT(H27),Q27=0),"",IF(Q27&lt;0.1,1,IF(Q27&lt;1,2,IF(Q27&lt;10,3,IF(Q27&lt;50,4,IF(Q27&gt;=50,5,""))))))</f>
        <v>2</v>
      </c>
      <c r="S27" s="216" t="n">
        <f aca="false">IF(ISERROR(R27*I27),0,R27*I27)</f>
        <v>24</v>
      </c>
      <c r="T27" s="216" t="n">
        <f aca="false">IF(ISERROR(R27*I27*J27),0,R27*I27*J27)</f>
        <v>48</v>
      </c>
      <c r="U27" s="228" t="n">
        <f aca="false">IF(ISERROR(R27*J27),0,R27*J27)</f>
        <v>4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IF(A27="new.cod","NEWCOD",IF(AND((Z27=""),ISTEXT(A27)),A27,IF(Z27="","",INDEX('[2]liste reference'!$A$8:$A$904,Z27))))</f>
        <v>FISCRA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197</v>
      </c>
      <c r="AA27" s="220"/>
      <c r="AB27" s="221"/>
      <c r="AC27" s="221"/>
      <c r="BB27" s="10" t="n">
        <f aca="false">IF(A27="","",1)</f>
        <v>1</v>
      </c>
    </row>
    <row r="28" customFormat="false" ht="12.75" hidden="false" customHeight="false" outlineLevel="0" collapsed="false">
      <c r="A28" s="222" t="s">
        <v>82</v>
      </c>
      <c r="B28" s="223" t="n">
        <v>0</v>
      </c>
      <c r="C28" s="224" t="n">
        <v>0.01</v>
      </c>
      <c r="D28" s="206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Lycopus europaeus</v>
      </c>
      <c r="E28" s="225" t="e">
        <f aca="false">IF(D28="",0,VLOOKUP(D28,D$22:D27,1,0))</f>
        <v>#N/A</v>
      </c>
      <c r="F28" s="226" t="n">
        <f aca="false">($B28*$B$7+$C28*$C$7)/100</f>
        <v>0.0005</v>
      </c>
      <c r="G28" s="208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PHe</v>
      </c>
      <c r="H28" s="209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8</v>
      </c>
      <c r="I28" s="210" t="n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>11</v>
      </c>
      <c r="J28" s="210" t="n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>1</v>
      </c>
      <c r="K28" s="211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Lycopus europaeus</v>
      </c>
      <c r="L28" s="227"/>
      <c r="M28" s="227"/>
      <c r="N28" s="227"/>
      <c r="O28" s="213"/>
      <c r="P28" s="214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1789</v>
      </c>
      <c r="Q28" s="215" t="n">
        <f aca="false">IF(ISTEXT(H28),"",(B28*$B$7/100)+(C28*$C$7/100))</f>
        <v>0.0005</v>
      </c>
      <c r="R28" s="216" t="n">
        <f aca="false">IF(OR(ISTEXT(H28),Q28=0),"",IF(Q28&lt;0.1,1,IF(Q28&lt;1,2,IF(Q28&lt;10,3,IF(Q28&lt;50,4,IF(Q28&gt;=50,5,""))))))</f>
        <v>1</v>
      </c>
      <c r="S28" s="216" t="n">
        <f aca="false">IF(ISERROR(R28*I28),0,R28*I28)</f>
        <v>11</v>
      </c>
      <c r="T28" s="216" t="n">
        <f aca="false">IF(ISERROR(R28*I28*J28),0,R28*I28*J28)</f>
        <v>11</v>
      </c>
      <c r="U28" s="228" t="n">
        <f aca="false">IF(ISERROR(R28*J28),0,R28*J28)</f>
        <v>1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IF(A28="new.cod","NEWCOD",IF(AND((Z28=""),ISTEXT(A28)),A28,IF(Z28="","",INDEX('[2]liste reference'!$A$8:$A$904,Z28))))</f>
        <v>LYCEUR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596</v>
      </c>
      <c r="AA28" s="220"/>
      <c r="AB28" s="221"/>
      <c r="AC28" s="221"/>
      <c r="BB28" s="10" t="n">
        <f aca="false">IF(A28="","",1)</f>
        <v>1</v>
      </c>
    </row>
    <row r="29" customFormat="false" ht="12.75" hidden="false" customHeight="false" outlineLevel="0" collapsed="false">
      <c r="A29" s="222" t="s">
        <v>83</v>
      </c>
      <c r="B29" s="223" t="n">
        <v>0</v>
      </c>
      <c r="C29" s="224" t="n">
        <v>0.01</v>
      </c>
      <c r="D29" s="206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Impatiens glandulifera</v>
      </c>
      <c r="E29" s="225" t="e">
        <f aca="false">IF(D29="",0,VLOOKUP(D29,D$22:D28,1,0))</f>
        <v>#N/A</v>
      </c>
      <c r="F29" s="226" t="n">
        <f aca="false">($B29*$B$7+$C29*$C$7)/100</f>
        <v>0.0005</v>
      </c>
      <c r="G29" s="208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PHg</v>
      </c>
      <c r="H29" s="209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9</v>
      </c>
      <c r="I29" s="210" t="str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/>
      </c>
      <c r="J29" s="210" t="str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/>
      </c>
      <c r="K29" s="211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Impatiens glandulifera</v>
      </c>
      <c r="L29" s="227"/>
      <c r="M29" s="227"/>
      <c r="N29" s="227"/>
      <c r="O29" s="213"/>
      <c r="P29" s="214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1686</v>
      </c>
      <c r="Q29" s="215" t="n">
        <f aca="false">IF(ISTEXT(H29),"",(B29*$B$7/100)+(C29*$C$7/100))</f>
        <v>0.0005</v>
      </c>
      <c r="R29" s="216" t="n">
        <f aca="false">IF(OR(ISTEXT(H29),Q29=0),"",IF(Q29&lt;0.1,1,IF(Q29&lt;1,2,IF(Q29&lt;10,3,IF(Q29&lt;50,4,IF(Q29&gt;=50,5,""))))))</f>
        <v>1</v>
      </c>
      <c r="S29" s="216" t="n">
        <f aca="false">IF(ISERROR(R29*I29),0,R29*I29)</f>
        <v>0</v>
      </c>
      <c r="T29" s="216" t="n">
        <f aca="false">IF(ISERROR(R29*I29*J29),0,R29*I29*J29)</f>
        <v>0</v>
      </c>
      <c r="U29" s="228" t="n">
        <f aca="false">IF(ISERROR(R29*J29),0,R29*J29)</f>
        <v>0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IF(A29="new.cod","NEWCOD",IF(AND((Z29=""),ISTEXT(A29)),A29,IF(Z29="","",INDEX('[2]liste reference'!$A$8:$A$904,Z29))))</f>
        <v>IMPGLA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763</v>
      </c>
      <c r="AA29" s="220"/>
      <c r="AB29" s="221"/>
      <c r="AC29" s="221"/>
      <c r="BB29" s="10" t="n">
        <f aca="false">IF(A29="","",1)</f>
        <v>1</v>
      </c>
    </row>
    <row r="30" customFormat="false" ht="12.75" hidden="false" customHeight="false" outlineLevel="0" collapsed="false">
      <c r="A30" s="222"/>
      <c r="B30" s="223"/>
      <c r="C30" s="224"/>
      <c r="D30" s="206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/>
      </c>
      <c r="E30" s="225" t="n">
        <f aca="false">IF(D30="",0,VLOOKUP(D30,D$22:D29,1,0))</f>
        <v>0</v>
      </c>
      <c r="F30" s="226" t="n">
        <f aca="false">($B30*$B$7+$C30*$C$7)/100</f>
        <v>0</v>
      </c>
      <c r="G30" s="208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/>
      </c>
      <c r="H30" s="209" t="str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x</v>
      </c>
      <c r="I30" s="210" t="str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/>
      </c>
      <c r="J30" s="210" t="str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/>
      </c>
      <c r="K30" s="211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/>
      </c>
      <c r="L30" s="227"/>
      <c r="M30" s="227"/>
      <c r="N30" s="227"/>
      <c r="O30" s="213"/>
      <c r="P30" s="214" t="str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/>
      </c>
      <c r="Q30" s="215" t="str">
        <f aca="false">IF(ISTEXT(H30),"",(B30*$B$7/100)+(C30*$C$7/100))</f>
        <v/>
      </c>
      <c r="R30" s="216" t="str">
        <f aca="false">IF(OR(ISTEXT(H30),Q30=0),"",IF(Q30&lt;0.1,1,IF(Q30&lt;1,2,IF(Q30&lt;10,3,IF(Q30&lt;50,4,IF(Q30&gt;=50,5,""))))))</f>
        <v/>
      </c>
      <c r="S30" s="216" t="n">
        <f aca="false">IF(ISERROR(R30*I30),0,R30*I30)</f>
        <v>0</v>
      </c>
      <c r="T30" s="216" t="n">
        <f aca="false">IF(ISERROR(R30*I30*J30),0,R30*I30*J30)</f>
        <v>0</v>
      </c>
      <c r="U30" s="228" t="n">
        <f aca="false">IF(ISERROR(R30*J30),0,R30*J30)</f>
        <v>0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IF(A30="new.cod","NEWCOD",IF(AND((Z30=""),ISTEXT(A30)),A30,IF(Z30="","",INDEX('[2]liste reference'!$A$8:$A$904,Z30))))</f>
        <v/>
      </c>
      <c r="Z30" s="10" t="str">
        <f aca="false">IF(ISERROR(MATCH(A30,'[2]liste reference'!$A$8:$A$904,0)),IF(ISERROR(MATCH(A30,'[2]liste reference'!$B$8:$B$904,0)),"",(MATCH(A30,'[2]liste reference'!$B$8:$B$904,0))),(MATCH(A30,'[2]liste reference'!$A$8:$A$904,0)))</f>
        <v/>
      </c>
      <c r="AA30" s="220"/>
      <c r="AB30" s="221"/>
      <c r="AC30" s="221"/>
      <c r="BB30" s="10" t="str">
        <f aca="false">IF(A30="","",1)</f>
        <v/>
      </c>
    </row>
    <row r="31" customFormat="false" ht="12.75" hidden="false" customHeight="false" outlineLevel="0" collapsed="false">
      <c r="A31" s="222"/>
      <c r="B31" s="223"/>
      <c r="C31" s="224"/>
      <c r="D31" s="206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5" t="n">
        <f aca="false">IF(D31="",0,VLOOKUP(D31,D$22:D30,1,0))</f>
        <v>0</v>
      </c>
      <c r="F31" s="226" t="n">
        <f aca="false">($B31*$B$7+$C31*$C$7)/100</f>
        <v>0</v>
      </c>
      <c r="G31" s="208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09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0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0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1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7"/>
      <c r="M31" s="227"/>
      <c r="N31" s="227"/>
      <c r="O31" s="213"/>
      <c r="P31" s="214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5" t="str">
        <f aca="false">IF(ISTEXT(H31),"",(B31*$B$7/100)+(C31*$C$7/100))</f>
        <v/>
      </c>
      <c r="R31" s="216" t="str">
        <f aca="false">IF(OR(ISTEXT(H31),Q31=0),"",IF(Q31&lt;0.1,1,IF(Q31&lt;1,2,IF(Q31&lt;10,3,IF(Q31&lt;50,4,IF(Q31&gt;=50,5,""))))))</f>
        <v/>
      </c>
      <c r="S31" s="216" t="n">
        <f aca="false">IF(ISERROR(R31*I31),0,R31*I31)</f>
        <v>0</v>
      </c>
      <c r="T31" s="216" t="n">
        <f aca="false">IF(ISERROR(R31*I31*J31),0,R31*I31*J31)</f>
        <v>0</v>
      </c>
      <c r="U31" s="228" t="n">
        <f aca="false">IF(ISERROR(R31*J31),0,R31*J31)</f>
        <v>0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0"/>
      <c r="AB31" s="221"/>
      <c r="AC31" s="221"/>
      <c r="BB31" s="10" t="str">
        <f aca="false">IF(A31="","",1)</f>
        <v/>
      </c>
    </row>
    <row r="32" customFormat="false" ht="12.75" hidden="false" customHeight="false" outlineLevel="0" collapsed="false">
      <c r="A32" s="222"/>
      <c r="B32" s="223"/>
      <c r="C32" s="224"/>
      <c r="D32" s="206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5" t="n">
        <f aca="false">IF(D32="",0,VLOOKUP(D32,D$22:D31,1,0))</f>
        <v>0</v>
      </c>
      <c r="F32" s="226" t="n">
        <f aca="false">($B32*$B$7+$C32*$C$7)/100</f>
        <v>0</v>
      </c>
      <c r="G32" s="208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09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0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0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1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7"/>
      <c r="M32" s="227"/>
      <c r="N32" s="227"/>
      <c r="O32" s="213"/>
      <c r="P32" s="214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5" t="str">
        <f aca="false">IF(ISTEXT(H32),"",(B32*$B$7/100)+(C32*$C$7/100))</f>
        <v/>
      </c>
      <c r="R32" s="216" t="str">
        <f aca="false">IF(OR(ISTEXT(H32),Q32=0),"",IF(Q32&lt;0.1,1,IF(Q32&lt;1,2,IF(Q32&lt;10,3,IF(Q32&lt;50,4,IF(Q32&gt;=50,5,""))))))</f>
        <v/>
      </c>
      <c r="S32" s="216" t="n">
        <f aca="false">IF(ISERROR(R32*I32),0,R32*I32)</f>
        <v>0</v>
      </c>
      <c r="T32" s="216" t="n">
        <f aca="false">IF(ISERROR(R32*I32*J32),0,R32*I32*J32)</f>
        <v>0</v>
      </c>
      <c r="U32" s="228" t="n">
        <f aca="false">IF(ISERROR(R32*J32),0,R32*J32)</f>
        <v>0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0"/>
      <c r="AB32" s="221"/>
      <c r="AC32" s="221"/>
      <c r="BB32" s="10" t="str">
        <f aca="false">IF(A32="","",1)</f>
        <v/>
      </c>
    </row>
    <row r="33" customFormat="false" ht="12.75" hidden="false" customHeight="false" outlineLevel="0" collapsed="false">
      <c r="A33" s="222"/>
      <c r="B33" s="223"/>
      <c r="C33" s="224"/>
      <c r="D33" s="206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5" t="n">
        <f aca="false">IF(D33="",0,VLOOKUP(D33,D$22:D32,1,0))</f>
        <v>0</v>
      </c>
      <c r="F33" s="226" t="n">
        <f aca="false">($B33*$B$7+$C33*$C$7)/100</f>
        <v>0</v>
      </c>
      <c r="G33" s="208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09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0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0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1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7"/>
      <c r="M33" s="227"/>
      <c r="N33" s="227"/>
      <c r="O33" s="213"/>
      <c r="P33" s="214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5" t="str">
        <f aca="false">IF(ISTEXT(H33),"",(B33*$B$7/100)+(C33*$C$7/100))</f>
        <v/>
      </c>
      <c r="R33" s="216" t="str">
        <f aca="false">IF(OR(ISTEXT(H33),Q33=0),"",IF(Q33&lt;0.1,1,IF(Q33&lt;1,2,IF(Q33&lt;10,3,IF(Q33&lt;50,4,IF(Q33&gt;=50,5,""))))))</f>
        <v/>
      </c>
      <c r="S33" s="216" t="n">
        <f aca="false">IF(ISERROR(R33*I33),0,R33*I33)</f>
        <v>0</v>
      </c>
      <c r="T33" s="216" t="n">
        <f aca="false">IF(ISERROR(R33*I33*J33),0,R33*I33*J33)</f>
        <v>0</v>
      </c>
      <c r="U33" s="228" t="n">
        <f aca="false">IF(ISERROR(R33*J33),0,R33*J33)</f>
        <v>0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0"/>
      <c r="AB33" s="221"/>
      <c r="AC33" s="221"/>
      <c r="BB33" s="10" t="str">
        <f aca="false">IF(A33="","",1)</f>
        <v/>
      </c>
    </row>
    <row r="34" customFormat="false" ht="12.75" hidden="false" customHeight="false" outlineLevel="0" collapsed="false">
      <c r="A34" s="222"/>
      <c r="B34" s="223"/>
      <c r="C34" s="224"/>
      <c r="D34" s="206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5" t="n">
        <f aca="false">IF(D34="",0,VLOOKUP(D34,D$22:D33,1,0))</f>
        <v>0</v>
      </c>
      <c r="F34" s="230" t="n">
        <f aca="false">($B34*$B$7+$C34*$C$7)/100</f>
        <v>0</v>
      </c>
      <c r="G34" s="208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09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0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0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1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7"/>
      <c r="M34" s="227"/>
      <c r="N34" s="227"/>
      <c r="O34" s="213"/>
      <c r="P34" s="214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28" t="n">
        <f aca="false">IF(ISERROR(R34*J34),0,R34*J34)</f>
        <v>0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0"/>
      <c r="AB34" s="221"/>
      <c r="AC34" s="221"/>
      <c r="BB34" s="10" t="str">
        <f aca="false">IF(A34="","",1)</f>
        <v/>
      </c>
    </row>
    <row r="35" customFormat="false" ht="12.75" hidden="false" customHeight="false" outlineLevel="0" collapsed="false">
      <c r="A35" s="222"/>
      <c r="B35" s="223"/>
      <c r="C35" s="224"/>
      <c r="D35" s="206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5" t="n">
        <f aca="false">IF(D35="",0,VLOOKUP(D35,D$22:D34,1,0))</f>
        <v>0</v>
      </c>
      <c r="F35" s="230" t="n">
        <f aca="false">($B35*$B$7+$C35*$C$7)/100</f>
        <v>0</v>
      </c>
      <c r="G35" s="208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09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0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0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1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7"/>
      <c r="M35" s="227"/>
      <c r="N35" s="227"/>
      <c r="O35" s="213"/>
      <c r="P35" s="214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8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0"/>
      <c r="AB35" s="221"/>
      <c r="AC35" s="221"/>
      <c r="BB35" s="10" t="str">
        <f aca="false">IF(A35="","",1)</f>
        <v/>
      </c>
    </row>
    <row r="36" customFormat="false" ht="12.75" hidden="false" customHeight="false" outlineLevel="0" collapsed="false">
      <c r="A36" s="222"/>
      <c r="B36" s="223"/>
      <c r="C36" s="224"/>
      <c r="D36" s="206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5" t="n">
        <f aca="false">IF(D36="",0,VLOOKUP(D36,D$22:D35,1,0))</f>
        <v>0</v>
      </c>
      <c r="F36" s="230" t="n">
        <f aca="false">($B36*$B$7+$C36*$C$7)/100</f>
        <v>0</v>
      </c>
      <c r="G36" s="208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09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0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0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1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7"/>
      <c r="M36" s="227"/>
      <c r="N36" s="227"/>
      <c r="O36" s="213"/>
      <c r="P36" s="214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8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22"/>
      <c r="B37" s="223"/>
      <c r="C37" s="224"/>
      <c r="D37" s="206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5" t="n">
        <f aca="false">IF(D37="",0,VLOOKUP(D37,D$22:D36,1,0))</f>
        <v>0</v>
      </c>
      <c r="F37" s="230" t="n">
        <f aca="false">($B37*$B$7+$C37*$C$7)/100</f>
        <v>0</v>
      </c>
      <c r="G37" s="208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09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0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0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1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7"/>
      <c r="M37" s="227"/>
      <c r="N37" s="227"/>
      <c r="O37" s="213"/>
      <c r="P37" s="214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8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2"/>
      <c r="B38" s="223"/>
      <c r="C38" s="224"/>
      <c r="D38" s="206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5" t="n">
        <f aca="false">IF(D38="",0,VLOOKUP(D38,D$22:D37,1,0))</f>
        <v>0</v>
      </c>
      <c r="F38" s="230" t="n">
        <f aca="false">($B38*$B$7+$C38*$C$7)/100</f>
        <v>0</v>
      </c>
      <c r="G38" s="208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09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0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0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1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7"/>
      <c r="M38" s="227"/>
      <c r="N38" s="227"/>
      <c r="O38" s="213"/>
      <c r="P38" s="214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8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09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0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0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1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09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0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0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1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09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0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0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1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09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0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0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1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09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0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0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1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09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0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0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1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09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0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0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1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09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0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0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1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09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0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0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1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09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0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0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1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09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0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0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1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09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0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0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1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09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0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0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1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09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0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0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1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09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0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0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1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09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0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0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1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09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0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0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1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09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0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0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1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09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0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0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1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09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0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0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1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09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0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0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1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09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0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0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1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09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0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0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1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09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0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0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1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5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0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0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1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7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0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0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1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7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0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0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1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7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0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0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1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7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0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0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1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7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0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0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1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7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0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0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1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7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0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0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1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7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0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0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1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7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0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0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1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7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0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0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1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7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0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0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1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7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0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0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1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7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0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0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1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7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0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0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1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7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0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0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1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7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0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0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1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7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0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0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1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7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0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0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1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6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0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0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7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84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GERE</v>
      </c>
      <c r="B84" s="258" t="str">
        <f aca="false">C3</f>
        <v>GERE A VIENNE</v>
      </c>
      <c r="C84" s="259" t="n">
        <f aca="false">A4</f>
        <v>41884</v>
      </c>
      <c r="D84" s="260" t="n">
        <f aca="false">IF(ISERROR(SUM($T$23:$T$82)/SUM($U$23:$U$82)),"",SUM($T$23:$T$82)/SUM($U$23:$U$82))</f>
        <v>10.5652173913043</v>
      </c>
      <c r="E84" s="261" t="n">
        <f aca="false">N13</f>
        <v>7</v>
      </c>
      <c r="F84" s="258" t="n">
        <f aca="false">N14</f>
        <v>5</v>
      </c>
      <c r="G84" s="258" t="n">
        <f aca="false">N15</f>
        <v>3</v>
      </c>
      <c r="H84" s="258" t="n">
        <f aca="false">N16</f>
        <v>1</v>
      </c>
      <c r="I84" s="258" t="n">
        <f aca="false">N17</f>
        <v>1</v>
      </c>
      <c r="J84" s="262" t="n">
        <f aca="false">N8</f>
        <v>9.2</v>
      </c>
      <c r="K84" s="260" t="n">
        <f aca="false">N9</f>
        <v>3.54400902933387</v>
      </c>
      <c r="L84" s="261" t="n">
        <f aca="false">N10</f>
        <v>4</v>
      </c>
      <c r="M84" s="261" t="n">
        <f aca="false">N11</f>
        <v>13</v>
      </c>
      <c r="N84" s="260" t="n">
        <f aca="false">O8</f>
        <v>1.6</v>
      </c>
      <c r="O84" s="260" t="n">
        <f aca="false">O9</f>
        <v>0.8</v>
      </c>
      <c r="P84" s="261" t="n">
        <f aca="false">O10</f>
        <v>1</v>
      </c>
      <c r="Q84" s="261" t="n">
        <f aca="false">O11</f>
        <v>3</v>
      </c>
      <c r="R84" s="261" t="n">
        <f aca="false">F21</f>
        <v>58.902</v>
      </c>
      <c r="S84" s="261" t="n">
        <f aca="false">K11</f>
        <v>0</v>
      </c>
      <c r="T84" s="261" t="n">
        <f aca="false">K12</f>
        <v>2</v>
      </c>
      <c r="U84" s="261" t="n">
        <f aca="false">K13</f>
        <v>3</v>
      </c>
      <c r="V84" s="263" t="n">
        <f aca="false">K14</f>
        <v>0</v>
      </c>
      <c r="W84" s="264" t="n">
        <f aca="false">K15</f>
        <v>2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85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86</v>
      </c>
      <c r="R87" s="10"/>
      <c r="S87" s="217" t="n">
        <f aca="false">VLOOKUP(MAX($S$23:$S$82),($S$23:$U$82),1,0)</f>
        <v>52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87</v>
      </c>
      <c r="R88" s="10"/>
      <c r="S88" s="217" t="n">
        <f aca="false">VLOOKUP((S87),($S$23:$U$82),2,0)</f>
        <v>156</v>
      </c>
      <c r="T88" s="10"/>
      <c r="U88" s="10"/>
      <c r="V88" s="10"/>
    </row>
    <row r="89" customFormat="false" ht="12.75" hidden="true" customHeight="false" outlineLevel="0" collapsed="false">
      <c r="Q89" s="10" t="s">
        <v>88</v>
      </c>
      <c r="R89" s="10"/>
      <c r="S89" s="217" t="n">
        <f aca="false">VLOOKUP((S87),($S$23:$U$82),3,0)</f>
        <v>12</v>
      </c>
      <c r="T89" s="10"/>
    </row>
    <row r="90" customFormat="false" ht="12.75" hidden="false" customHeight="false" outlineLevel="0" collapsed="false">
      <c r="Q90" s="10" t="s">
        <v>89</v>
      </c>
      <c r="R90" s="10"/>
      <c r="S90" s="267" t="n">
        <f aca="false">IF(ISERROR(SUM($T$23:$T$82)/SUM($U$23:$U$82)),"",(SUM($T$23:$T$82)-S88)/(SUM($U$23:$U$82)-S89))</f>
        <v>7.90909090909091</v>
      </c>
      <c r="T90" s="10"/>
    </row>
    <row r="91" customFormat="false" ht="12.75" hidden="false" customHeight="false" outlineLevel="0" collapsed="false">
      <c r="Q91" s="216" t="s">
        <v>90</v>
      </c>
      <c r="R91" s="216"/>
      <c r="S91" s="216" t="str">
        <f aca="false">INDEX('[2]liste reference'!$A$8:$A$904,$T$91)</f>
        <v>CINDAN</v>
      </c>
      <c r="T91" s="10" t="n">
        <f aca="false">IF(ISERROR(MATCH($S$93,'[2]liste reference'!$A$8:$A$904,0)),MATCH($S$93,'[2]liste reference'!$B$8:$B$904,0),(MATCH($S$93,'[2]liste reference'!$A$8:$A$904,0)))</f>
        <v>171</v>
      </c>
      <c r="U91" s="256"/>
    </row>
    <row r="92" customFormat="false" ht="12.75" hidden="false" customHeight="false" outlineLevel="0" collapsed="false">
      <c r="Q92" s="10" t="s">
        <v>91</v>
      </c>
      <c r="R92" s="10"/>
      <c r="S92" s="10" t="n">
        <f aca="false">MATCH(S87,$S$23:$S$82,0)</f>
        <v>4</v>
      </c>
      <c r="T92" s="10"/>
    </row>
    <row r="93" customFormat="false" ht="12.75" hidden="false" customHeight="false" outlineLevel="0" collapsed="false">
      <c r="Q93" s="216" t="s">
        <v>92</v>
      </c>
      <c r="R93" s="10"/>
      <c r="S93" s="216" t="str">
        <f aca="false">INDEX($A$23:$A$82,$S$92)</f>
        <v>CINDAN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2015-04-23T15:55:05Z</dcterms:created>
  <dc:creator>Laurent Bourgoin</dc:creator>
  <dc:description/>
  <dc:language>fr-FR</dc:language>
  <cp:lastModifiedBy>IMBERT Loïc</cp:lastModifiedBy>
  <dcterms:modified xsi:type="dcterms:W3CDTF">2015-05-04T15:02:41Z</dcterms:modified>
  <cp:revision>0</cp:revision>
  <dc:subject/>
  <dc:title/>
</cp:coreProperties>
</file>