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<sst xmlns="http://schemas.openxmlformats.org/spreadsheetml/2006/main" count="167" uniqueCount="101">
  <si>
    <t xml:space="preserve">Relevés floristiques aquatiques - IBMR</t>
  </si>
  <si>
    <t xml:space="preserve">modèle Irstea-GIS</t>
  </si>
  <si>
    <t xml:space="preserve">SAGE ENVIRONNEMENT</t>
  </si>
  <si>
    <t xml:space="preserve">C. BERNARD S. RENAHY</t>
  </si>
  <si>
    <t xml:space="preserve">CANCE</t>
  </si>
  <si>
    <t xml:space="preserve">CANCE A SARRAS</t>
  </si>
  <si>
    <t xml:space="preserve">06103500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</si>
  <si>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</si>
  <si>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</si>
  <si>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</si>
  <si>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</si>
  <si>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</si>
  <si>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</si>
  <si>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</si>
  <si>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</si>
  <si>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</si>
  <si>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</si>
  <si>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</si>
  <si>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</si>
  <si>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</si>
  <si>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</si>
  <si>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</si>
  <si>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</si>
  <si>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</si>
  <si>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</si>
  <si>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</si>
  <si>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</si>
  <si>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</si>
  <si>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</si>
  <si>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</si>
  <si>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</si>
  <si>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</si>
  <si>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</si>
  <si>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</si>
  <si>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</si>
  <si>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</si>
  <si>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</si>
  <si>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</si>
  <si>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</si>
  <si>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</si>
  <si>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</si>
  <si>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</si>
  <si>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</si>
  <si>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</si>
  <si>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</si>
  <si>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</si>
  <si>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</si>
  <si>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</si>
  <si>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</si>
  <si>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</si>
  <si>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</si>
  <si>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</si>
  <si>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</si>
  <si>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</si>
  <si>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</si>
  <si>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</si>
  <si>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</si>
  <si>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</si>
  <si>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</si>
  <si>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</si>
  <si>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</si>
  <si>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</si>
  <si>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</si>
  <si>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</si>
  <si>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</si>
  <si>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</si>
  <si>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</si>
  <si>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</si>
  <si>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</si>
  <si>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</si>
  <si>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</si>
  <si>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</si>
  <si>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</si>
  <si>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</si>
  <si>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</si>
  <si>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</si>
  <si>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</si>
  <si>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</si>
  <si>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</si>
  <si>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</si>
  <si>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</si>
  <si>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LEASPX</t>
  </si>
  <si>
    <t xml:space="preserve">MELSPX</t>
  </si>
  <si>
    <t xml:space="preserve">OEDSPX</t>
  </si>
  <si>
    <t xml:space="preserve">PHOSPX</t>
  </si>
  <si>
    <t xml:space="preserve">RHISPX</t>
  </si>
  <si>
    <t xml:space="preserve">SCYSPX</t>
  </si>
  <si>
    <t xml:space="preserve">SPISPX</t>
  </si>
  <si>
    <t xml:space="preserve">TETSPX</t>
  </si>
  <si>
    <t xml:space="preserve">FISCRA</t>
  </si>
  <si>
    <t xml:space="preserve">FONSQU</t>
  </si>
  <si>
    <t xml:space="preserve">LEORIP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</si>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</sst>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CANSA_17-08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42233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11.3076923076923</v>
      </c>
      <c r="N5" s="51"/>
      <c r="O5" s="52" t="s">
        <v>16</v>
      </c>
      <c r="P5" s="53" t="n">
        <v>10.6363636363636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40</v>
      </c>
      <c r="C7" s="69" t="n">
        <v>60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10.4615384615385</v>
      </c>
      <c r="P8" s="83" t="n">
        <f aca="false">IF(ISERROR(AVERAGE(K23:K82)),"  ",AVERAGE(K23:K82))</f>
        <v>1.69230769230769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0.76</v>
      </c>
      <c r="C9" s="86" t="n">
        <v>0.66</v>
      </c>
      <c r="D9" s="87"/>
      <c r="E9" s="87"/>
      <c r="F9" s="88" t="n">
        <f aca="false">($B9*$B$7+$C9*$C$7)/100</f>
        <v>0.7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3.89507350805297</v>
      </c>
      <c r="P9" s="83" t="n">
        <f aca="false">IF(ISERROR(STDEVP(K23:K82)),"  ",STDEVP(K23:K82))</f>
        <v>0.605692913385524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16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0.71</v>
      </c>
      <c r="C12" s="111" t="n">
        <v>0.66</v>
      </c>
      <c r="D12" s="87"/>
      <c r="E12" s="87"/>
      <c r="F12" s="104" t="n">
        <f aca="false">($B12*$B$7+$C12*$C$7)/100</f>
        <v>0.68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10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0.05</v>
      </c>
      <c r="C13" s="111"/>
      <c r="D13" s="87"/>
      <c r="E13" s="87"/>
      <c r="F13" s="104" t="n">
        <f aca="false">($B13*$B$7+$C13*$C$7)/100</f>
        <v>0.02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4</v>
      </c>
      <c r="M13" s="108"/>
      <c r="N13" s="116" t="s">
        <v>41</v>
      </c>
      <c r="O13" s="117" t="n">
        <f aca="false">COUNTIF(F23:F82,"&gt;0")</f>
        <v>14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13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5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7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0.76</v>
      </c>
      <c r="C17" s="111" t="n">
        <v>0.66</v>
      </c>
      <c r="D17" s="87"/>
      <c r="E17" s="87"/>
      <c r="F17" s="129"/>
      <c r="G17" s="130" t="n">
        <f aca="false">($B17*$B$7+$C17*$C$7)/100</f>
        <v>0.7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0.928571428571429</v>
      </c>
      <c r="N17" s="116" t="s">
        <v>52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0.7</v>
      </c>
      <c r="G19" s="150" t="n">
        <f aca="false">SUM(G16:G18)</f>
        <v>0.7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0.76</v>
      </c>
      <c r="C20" s="160" t="n">
        <f aca="false">SUM(C23:C62)</f>
        <v>0.64</v>
      </c>
      <c r="D20" s="161"/>
      <c r="E20" s="162" t="s">
        <v>54</v>
      </c>
      <c r="F20" s="163" t="n">
        <f aca="false">($B20*$B$7+$C20*$C$7)/100</f>
        <v>0.688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0.304</v>
      </c>
      <c r="C21" s="171" t="n">
        <f aca="false">C20*C7/100</f>
        <v>0.384</v>
      </c>
      <c r="D21" s="172" t="s">
        <v>57</v>
      </c>
      <c r="E21" s="173"/>
      <c r="F21" s="174" t="n">
        <f aca="false">B21+C21</f>
        <v>0.688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0.06</v>
      </c>
      <c r="C23" s="200" t="n">
        <v>0.01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0.03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0.03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16</v>
      </c>
      <c r="B24" s="217" t="n">
        <v>0.5</v>
      </c>
      <c r="C24" s="218" t="n">
        <v>0.1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Hildenbrandia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0.26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Hildenbrandia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1157</v>
      </c>
      <c r="R24" s="211" t="n">
        <f aca="false">IF(ISTEXT(H24),"",(B24*$B$7/100)+(C24*$C$7/100))</f>
        <v>0.26</v>
      </c>
      <c r="S24" s="212" t="n">
        <f aca="false">IF(OR(ISTEXT(H24),R24=0),"",IF(R24&lt;0.1,1,IF(R24&lt;1,2,IF(R24&lt;10,3,IF(R24&lt;50,4,IF(R24&gt;=50,5,""))))))</f>
        <v>2</v>
      </c>
      <c r="T24" s="212" t="n">
        <f aca="false">IF(ISERROR(S24*J24),0,S24*J24)</f>
        <v>30</v>
      </c>
      <c r="U24" s="212" t="n">
        <f aca="false">IF(ISERROR(S24*J24*K24),0,S24*J24*K24)</f>
        <v>60</v>
      </c>
      <c r="V24" s="228" t="n">
        <f aca="false">IF(ISERROR(S24*K24),0,S24*K24)</f>
        <v>4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HILSPX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53</v>
      </c>
    </row>
    <row r="25" customFormat="false" ht="12.75" hidden="false" customHeight="false" outlineLevel="0" collapsed="false">
      <c r="A25" s="216" t="s">
        <v>81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Lemanea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0.004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Lemanea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1159</v>
      </c>
      <c r="R25" s="211" t="n">
        <f aca="false">IF(ISTEXT(H25),"",(B25*$B$7/100)+(C25*$C$7/100))</f>
        <v>0.004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15</v>
      </c>
      <c r="U25" s="212" t="n">
        <f aca="false">IF(ISERROR(S25*J25*K25),0,S25*J25*K25)</f>
        <v>30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LEASPX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59</v>
      </c>
    </row>
    <row r="26" customFormat="false" ht="12.75" hidden="false" customHeight="false" outlineLevel="0" collapsed="false">
      <c r="A26" s="216" t="s">
        <v>82</v>
      </c>
      <c r="B26" s="217" t="n">
        <v>0</v>
      </c>
      <c r="C26" s="218" t="n">
        <v>0.1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Melosira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0.06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Melosira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8714</v>
      </c>
      <c r="R26" s="211" t="n">
        <f aca="false">IF(ISTEXT(H26),"",(B26*$B$7/100)+(C26*$C$7/100))</f>
        <v>0.06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10</v>
      </c>
      <c r="U26" s="212" t="n">
        <f aca="false">IF(ISERROR(S26*J26*K26),0,S26*J26*K26)</f>
        <v>10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MELSPX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62</v>
      </c>
    </row>
    <row r="27" customFormat="false" ht="12.75" hidden="false" customHeight="false" outlineLevel="0" collapsed="false">
      <c r="A27" s="216" t="s">
        <v>83</v>
      </c>
      <c r="B27" s="217" t="n">
        <v>0.01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Oedogonium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0.004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6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Oedogonium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1134</v>
      </c>
      <c r="R27" s="211" t="n">
        <f aca="false">IF(ISTEXT(H27),"",(B27*$B$7/100)+(C27*$C$7/100))</f>
        <v>0.004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6</v>
      </c>
      <c r="U27" s="212" t="n">
        <f aca="false">IF(ISERROR(S27*J27*K27),0,S27*J27*K27)</f>
        <v>12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OEDSPX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85</v>
      </c>
    </row>
    <row r="28" customFormat="false" ht="12.75" hidden="false" customHeight="false" outlineLevel="0" collapsed="false">
      <c r="A28" s="216" t="s">
        <v>84</v>
      </c>
      <c r="B28" s="217" t="n">
        <v>0</v>
      </c>
      <c r="C28" s="218" t="n">
        <v>0.31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Phormidium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0.186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13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Phormidium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6414</v>
      </c>
      <c r="R28" s="211" t="n">
        <f aca="false">IF(ISTEXT(H28),"",(B28*$B$7/100)+(C28*$C$7/100))</f>
        <v>0.186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26</v>
      </c>
      <c r="U28" s="212" t="n">
        <f aca="false">IF(ISERROR(S28*J28*K28),0,S28*J28*K28)</f>
        <v>52</v>
      </c>
      <c r="V28" s="228" t="n">
        <f aca="false">IF(ISERROR(S28*K28),0,S28*K28)</f>
        <v>4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PHOSPX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88</v>
      </c>
    </row>
    <row r="29" customFormat="false" ht="12.75" hidden="false" customHeight="false" outlineLevel="0" collapsed="false">
      <c r="A29" s="216" t="s">
        <v>85</v>
      </c>
      <c r="B29" s="217" t="n">
        <v>0.02</v>
      </c>
      <c r="C29" s="218" t="n">
        <v>0.01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Rhizoclonium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0.014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4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Rhizoclonium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1125</v>
      </c>
      <c r="R29" s="211" t="n">
        <f aca="false">IF(ISTEXT(H29),"",(B29*$B$7/100)+(C29*$C$7/100))</f>
        <v>0.014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4</v>
      </c>
      <c r="U29" s="212" t="n">
        <f aca="false">IF(ISERROR(S29*J29*K29),0,S29*J29*K29)</f>
        <v>8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RHISPX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95</v>
      </c>
    </row>
    <row r="30" customFormat="false" ht="12.75" hidden="false" customHeight="false" outlineLevel="0" collapsed="false">
      <c r="A30" s="216" t="s">
        <v>86</v>
      </c>
      <c r="B30" s="217" t="n">
        <v>0.1</v>
      </c>
      <c r="C30" s="218" t="n">
        <v>0.01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Scytonema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0.046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nc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nc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Scytonema sp.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1114</v>
      </c>
      <c r="R30" s="211" t="n">
        <f aca="false">IF(ISTEXT(H30),"",(B30*$B$7/100)+(C30*$C$7/100))</f>
        <v>0.046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SCYSPX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99</v>
      </c>
    </row>
    <row r="31" customFormat="false" ht="12.75" hidden="false" customHeight="false" outlineLevel="0" collapsed="false">
      <c r="A31" s="216" t="s">
        <v>87</v>
      </c>
      <c r="B31" s="217" t="n">
        <v>0</v>
      </c>
      <c r="C31" s="218" t="n">
        <v>0.1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Spirogyra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0.06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Spirogyra sp.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1147</v>
      </c>
      <c r="R31" s="211" t="n">
        <f aca="false">IF(ISTEXT(H31),"",(B31*$B$7/100)+(C31*$C$7/100))</f>
        <v>0.06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10</v>
      </c>
      <c r="U31" s="212" t="n">
        <f aca="false">IF(ISERROR(S31*J31*K31),0,S31*J31*K31)</f>
        <v>10</v>
      </c>
      <c r="V31" s="228" t="n">
        <f aca="false">IF(ISERROR(S31*K31),0,S31*K31)</f>
        <v>1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SPISPX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102</v>
      </c>
    </row>
    <row r="32" customFormat="false" ht="12.75" hidden="false" customHeight="false" outlineLevel="0" collapsed="false">
      <c r="A32" s="216" t="s">
        <v>88</v>
      </c>
      <c r="B32" s="217" t="n">
        <v>0.01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Tetraspora sp.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0.004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ALG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2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12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1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Tetraspora sp.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1138</v>
      </c>
      <c r="R32" s="211" t="n">
        <f aca="false">IF(ISTEXT(H32),"",(B32*$B$7/100)+(C32*$C$7/100))</f>
        <v>0.004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12</v>
      </c>
      <c r="U32" s="212" t="n">
        <f aca="false">IF(ISERROR(S32*J32*K32),0,S32*J32*K32)</f>
        <v>12</v>
      </c>
      <c r="V32" s="228" t="n">
        <f aca="false">IF(ISERROR(S32*K32),0,S32*K32)</f>
        <v>1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TETSPX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107</v>
      </c>
    </row>
    <row r="33" customFormat="false" ht="12.75" hidden="false" customHeight="false" outlineLevel="0" collapsed="false">
      <c r="A33" s="216" t="s">
        <v>89</v>
      </c>
      <c r="B33" s="217" t="n">
        <v>0.01</v>
      </c>
      <c r="C33" s="218" t="n">
        <v>0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Fissidens crassipes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0.004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BRm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5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12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2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Fissidens crassipes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1294</v>
      </c>
      <c r="R33" s="211" t="n">
        <f aca="false">IF(ISTEXT(H33),"",(B33*$B$7/100)+(C33*$C$7/100))</f>
        <v>0.004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12</v>
      </c>
      <c r="U33" s="212" t="n">
        <f aca="false">IF(ISERROR(S33*J33*K33),0,S33*J33*K33)</f>
        <v>24</v>
      </c>
      <c r="V33" s="228" t="n">
        <f aca="false">IF(ISERROR(S33*K33),0,S33*K33)</f>
        <v>2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FISCRA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255</v>
      </c>
    </row>
    <row r="34" customFormat="false" ht="12.75" hidden="false" customHeight="false" outlineLevel="0" collapsed="false">
      <c r="A34" s="216" t="s">
        <v>90</v>
      </c>
      <c r="B34" s="217" t="n">
        <v>0.01</v>
      </c>
      <c r="C34" s="218" t="n">
        <v>0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Fontinalis squamosa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0.004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BRm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5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16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3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Fontinalis squamosa</v>
      </c>
      <c r="M34" s="225"/>
      <c r="N34" s="225"/>
      <c r="O34" s="225"/>
      <c r="P34" s="226" t="s">
        <v>80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1312</v>
      </c>
      <c r="R34" s="211" t="n">
        <f aca="false">IF(ISTEXT(H34),"",(B34*$B$7/100)+(C34*$C$7/100))</f>
        <v>0.004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16</v>
      </c>
      <c r="U34" s="212" t="n">
        <f aca="false">IF(ISERROR(S34*J34*K34),0,S34*J34*K34)</f>
        <v>48</v>
      </c>
      <c r="V34" s="228" t="n">
        <f aca="false">IF(ISERROR(S34*K34),0,S34*K34)</f>
        <v>3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FONSQU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277</v>
      </c>
    </row>
    <row r="35" customFormat="false" ht="12.75" hidden="false" customHeight="false" outlineLevel="0" collapsed="false">
      <c r="A35" s="216" t="s">
        <v>91</v>
      </c>
      <c r="B35" s="217" t="n">
        <v>0.01</v>
      </c>
      <c r="C35" s="218" t="n">
        <v>0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Leptodictyum riparium 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0.004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BRm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5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5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2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Leptodictyum riparium </v>
      </c>
      <c r="M35" s="225"/>
      <c r="N35" s="225"/>
      <c r="O35" s="225"/>
      <c r="P35" s="226" t="s">
        <v>80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1244</v>
      </c>
      <c r="R35" s="211" t="n">
        <f aca="false">IF(ISTEXT(H35),"",(B35*$B$7/100)+(C35*$C$7/100))</f>
        <v>0.004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5</v>
      </c>
      <c r="U35" s="212" t="n">
        <f aca="false">IF(ISERROR(S35*J35*K35),0,S35*J35*K35)</f>
        <v>10</v>
      </c>
      <c r="V35" s="228" t="n">
        <f aca="false">IF(ISERROR(S35*K35),0,S35*K35)</f>
        <v>2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LEORIP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298</v>
      </c>
    </row>
    <row r="36" customFormat="false" ht="12.75" hidden="false" customHeight="false" outlineLevel="0" collapsed="false">
      <c r="A36" s="216" t="s">
        <v>92</v>
      </c>
      <c r="B36" s="217" t="n">
        <v>0.02</v>
      </c>
      <c r="C36" s="218" t="n">
        <v>0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Rhynchostegium riparioides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0.008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BRm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5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12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1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Rhynchostegium riparioides</v>
      </c>
      <c r="M36" s="225"/>
      <c r="N36" s="225"/>
      <c r="O36" s="225"/>
      <c r="P36" s="226" t="s">
        <v>80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31691</v>
      </c>
      <c r="R36" s="211" t="n">
        <f aca="false">IF(ISTEXT(H36),"",(B36*$B$7/100)+(C36*$C$7/100))</f>
        <v>0.008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12</v>
      </c>
      <c r="U36" s="212" t="n">
        <f aca="false">IF(ISERROR(S36*J36*K36),0,S36*J36*K36)</f>
        <v>12</v>
      </c>
      <c r="V36" s="228" t="n">
        <f aca="false">IF(ISERROR(S36*K36),0,S36*K36)</f>
        <v>1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RHYRIP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345</v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0.688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26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CANCE</v>
      </c>
      <c r="B84" s="180" t="str">
        <f aca="false">C3</f>
        <v>CANCE A SARRAS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11.3076923076923</v>
      </c>
      <c r="E84" s="254" t="n">
        <f aca="false">O13</f>
        <v>14</v>
      </c>
      <c r="F84" s="180" t="n">
        <f aca="false">O14</f>
        <v>13</v>
      </c>
      <c r="G84" s="180" t="n">
        <f aca="false">O15</f>
        <v>5</v>
      </c>
      <c r="H84" s="180" t="n">
        <f aca="false">O16</f>
        <v>7</v>
      </c>
      <c r="I84" s="180" t="n">
        <f aca="false">O17</f>
        <v>1</v>
      </c>
      <c r="J84" s="255" t="n">
        <f aca="false">O8</f>
        <v>10.4615384615385</v>
      </c>
      <c r="K84" s="256" t="n">
        <f aca="false">O9</f>
        <v>3.89507350805297</v>
      </c>
      <c r="L84" s="257" t="n">
        <f aca="false">O10</f>
        <v>4</v>
      </c>
      <c r="M84" s="257" t="n">
        <f aca="false">O11</f>
        <v>16</v>
      </c>
      <c r="N84" s="256" t="n">
        <f aca="false">P8</f>
        <v>1.69230769230769</v>
      </c>
      <c r="O84" s="256" t="n">
        <f aca="false">P9</f>
        <v>0.605692913385524</v>
      </c>
      <c r="P84" s="257" t="n">
        <f aca="false">P10</f>
        <v>1</v>
      </c>
      <c r="Q84" s="257" t="n">
        <f aca="false">P11</f>
        <v>3</v>
      </c>
      <c r="R84" s="257" t="n">
        <f aca="false">F21</f>
        <v>0.688</v>
      </c>
      <c r="S84" s="257" t="n">
        <f aca="false">L11</f>
        <v>0</v>
      </c>
      <c r="T84" s="257" t="n">
        <f aca="false">L12</f>
        <v>10</v>
      </c>
      <c r="U84" s="257" t="n">
        <f aca="false">L13</f>
        <v>4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93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94</v>
      </c>
      <c r="S87" s="8"/>
      <c r="T87" s="263" t="n">
        <f aca="false">VLOOKUP($T$91,($A$23:$U$82),20,FALSE())</f>
        <v>30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95</v>
      </c>
      <c r="S88" s="8"/>
      <c r="T88" s="263" t="n">
        <f aca="false">VLOOKUP($T$91,($A$23:$U$82),21,FALSE())</f>
        <v>60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96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97</v>
      </c>
      <c r="S90" s="8" t="s">
        <v>10</v>
      </c>
      <c r="T90" s="264" t="n">
        <f aca="false">IF(OR(ISERROR(SUM($U$23:$U$82)/SUM($V$23:$V$82)),F7&lt;&gt;100),-1,(SUM($U$23:$U$82)-T88)/(SUM($V$23:$V$82)-T89))</f>
        <v>10.6363636363636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98</v>
      </c>
      <c r="S91" s="212"/>
      <c r="T91" s="212" t="str">
        <f aca="false">INDEX('[1]liste reference'!$A$6:$A$1174,$U$91)</f>
        <v>HILSPX</v>
      </c>
      <c r="U91" s="8" t="n">
        <f aca="false">IF(ISERROR(MATCH($T$93,'[1]liste reference'!$A$6:$A$1174,0)),MATCH($T$93,'[1]liste reference'!$B$6:$B$1174,0),(MATCH($T$93,'[1]liste reference'!$A$6:$A$1174,0)))</f>
        <v>53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99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100</v>
      </c>
      <c r="S93" s="8"/>
      <c r="T93" s="212" t="str">
        <f aca="false">INDEX($A$23:$A$82,$T$92)</f>
        <v>HILSPX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2016-04-05T10:50:34Z</dcterms:created>
  <dc:creator>laurianne isebe</dc:creator>
  <dc:description/>
  <dc:language>fr-FR</dc:language>
  <cp:lastModifiedBy>laurianne isebe</cp:lastModifiedBy>
  <dcterms:modified xsi:type="dcterms:W3CDTF">2016-04-05T10:50:38Z</dcterms:modified>
  <cp:revision>0</cp:revision>
  <dc:subject/>
  <dc:title/>
</cp:coreProperties>
</file>