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<sst xmlns="http://schemas.openxmlformats.org/spreadsheetml/2006/main" count="110" uniqueCount="106">
  <si>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</si>
  <si>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</si>
  <si>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</si>
  <si>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</si>
  <si>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</si>
  <si>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Rhône</t>
  </si>
  <si>
    <t xml:space="preserve">Rhône à Saint Vallier</t>
  </si>
  <si>
    <t xml:space="preserve">06104000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</si>
  <si>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</si>
  <si>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</si>
  <si>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</si>
  <si>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</si>
  <si>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</si>
  <si>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</si>
  <si>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</si>
  <si>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</si>
  <si>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</si>
  <si>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</si>
  <si>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lentique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</si>
  <si>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</si>
  <si>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</si>
  <si>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</si>
  <si>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</si>
  <si>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</si>
  <si>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</si>
  <si>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</si>
  <si>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</si>
  <si>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</si>
  <si>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</si>
  <si>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</si>
  <si>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</si>
  <si>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</si>
  <si>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</si>
  <si>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</si>
  <si>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</si>
  <si>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</si>
  <si>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</si>
  <si>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</si>
  <si>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</si>
  <si>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</si>
  <si>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</si>
  <si>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</si>
  <si>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</si>
  <si>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</si>
  <si>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</si>
  <si>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</si>
  <si>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</si>
  <si>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</si>
  <si>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</si>
  <si>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</si>
  <si>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</si>
  <si>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</si>
  <si>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</si>
  <si>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</si>
  <si>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</si>
  <si>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</si>
  <si>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</si>
  <si>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</si>
  <si>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</si>
  <si>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</si>
  <si>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</si>
  <si>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</si>
  <si>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</si>
  <si>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</si>
  <si>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</si>
  <si>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</si>
  <si>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</si>
  <si>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</si>
  <si>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</si>
  <si>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</si>
  <si>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</si>
  <si>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</si>
  <si>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</si>
  <si>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</si>
  <si>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</si>
  <si>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</si>
  <si>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</si>
  <si>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</si>
  <si>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VAUSPX</t>
  </si>
  <si>
    <t xml:space="preserve">AMBFLU</t>
  </si>
  <si>
    <t xml:space="preserve">CINDAN</t>
  </si>
  <si>
    <t xml:space="preserve">CINFON</t>
  </si>
  <si>
    <t xml:space="preserve">FONANT</t>
  </si>
  <si>
    <t xml:space="preserve">OCTFON</t>
  </si>
  <si>
    <t xml:space="preserve">CERDEM</t>
  </si>
  <si>
    <t xml:space="preserve">EGEDEN</t>
  </si>
  <si>
    <t xml:space="preserve">MYRSPI</t>
  </si>
  <si>
    <t xml:space="preserve">NAJMAR</t>
  </si>
  <si>
    <t xml:space="preserve">POTNOD</t>
  </si>
  <si>
    <t xml:space="preserve">POTPEC</t>
  </si>
  <si>
    <t xml:space="preserve">POTPER</t>
  </si>
  <si>
    <t xml:space="preserve">VALSPI</t>
  </si>
  <si>
    <t xml:space="preserve">IRIPSE</t>
  </si>
  <si>
    <t xml:space="preserve">PHAARU</t>
  </si>
  <si>
    <t xml:space="preserve">PHRAUS</t>
  </si>
  <si>
    <t xml:space="preserve">newcod</t>
  </si>
  <si>
    <t xml:space="preserve">Mougeotiopsis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</si>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</sst>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1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11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1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1" fillId="10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7" borderId="6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RHOVA_26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7.44642857142857</v>
      </c>
      <c r="M5" s="53"/>
      <c r="N5" s="54" t="s">
        <v>16</v>
      </c>
      <c r="O5" s="55" t="n">
        <v>6.78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0</v>
      </c>
      <c r="C7" s="67" t="n">
        <v>100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8.23529411764706</v>
      </c>
      <c r="O8" s="84" t="n">
        <f aca="false">IF(ISERROR(AVERAGE(J23:J82)),"      -",AVERAGE(J23:J82))</f>
        <v>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/>
      <c r="C9" s="87" t="n">
        <v>18.87</v>
      </c>
      <c r="D9" s="88"/>
      <c r="E9" s="88"/>
      <c r="F9" s="89" t="n">
        <f aca="false">($B9*$B$7+$C9*$C$7)/100</f>
        <v>18.87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3.20898392870255</v>
      </c>
      <c r="O9" s="84" t="n">
        <f aca="false">IF(ISERROR(STDEVP(J23:J82)),"      -",STDEVP(J23:J82))</f>
        <v>0.685994340570035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/>
      <c r="C12" s="119" t="n">
        <v>6.61</v>
      </c>
      <c r="D12" s="111"/>
      <c r="E12" s="111"/>
      <c r="F12" s="112" t="n">
        <f aca="false">($B12*$B$7+$C12*$C$7)/100</f>
        <v>6.61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 t="n">
        <v>0.01</v>
      </c>
      <c r="D13" s="111"/>
      <c r="E13" s="111"/>
      <c r="F13" s="112" t="n">
        <f aca="false">($B13*$B$7+$C13*$C$7)/100</f>
        <v>0.01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12.25</v>
      </c>
      <c r="D15" s="111"/>
      <c r="E15" s="111"/>
      <c r="F15" s="112" t="n">
        <f aca="false">($B15*$B$7+$C15*$C$7)/100</f>
        <v>12.25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11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9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/>
      <c r="C17" s="119" t="n">
        <v>18.86</v>
      </c>
      <c r="D17" s="111"/>
      <c r="E17" s="111"/>
      <c r="F17" s="143"/>
      <c r="G17" s="112" t="n">
        <f aca="false">($B17*$B$7+$C17*$C$7)/100</f>
        <v>18.86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4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18.87</v>
      </c>
      <c r="G19" s="156" t="n">
        <f aca="false">SUM(G16:G18)</f>
        <v>18.87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</v>
      </c>
      <c r="C20" s="166" t="n">
        <f aca="false">SUM(C23:C82)</f>
        <v>18.8671168224299</v>
      </c>
      <c r="D20" s="167"/>
      <c r="E20" s="168" t="s">
        <v>54</v>
      </c>
      <c r="F20" s="169" t="n">
        <f aca="false">($B20*$B$7+$C20*$C$7)/100</f>
        <v>18.8671168224299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</v>
      </c>
      <c r="C21" s="179" t="n">
        <f aca="false">C20*C7/100</f>
        <v>18.8671168224299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18.8671168224299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5" hidden="false" customHeight="false" outlineLevel="0" collapsed="false">
      <c r="A23" s="204" t="s">
        <v>16</v>
      </c>
      <c r="B23" s="205" t="n">
        <v>0</v>
      </c>
      <c r="C23" s="205" t="n">
        <v>5.57242990654206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Phormidium sp.</v>
      </c>
      <c r="E23" s="206" t="e">
        <f aca="false">IF(D23="",0,VLOOKUP(D23,D$22:D22,1,0))</f>
        <v>#N/A</v>
      </c>
      <c r="F23" s="207" t="n">
        <f aca="false">($B23*$B$7+$C23*$C$7)/100</f>
        <v>5.57242990654206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Phormidium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6414</v>
      </c>
      <c r="Q23" s="215" t="n">
        <f aca="false">IF(ISTEXT(H23),"",(B23*$B$7/100)+(C23*$C$7/100))</f>
        <v>5.57242990654206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39</v>
      </c>
      <c r="T23" s="216" t="n">
        <f aca="false">IF(ISERROR(R23*I23*J23),0,R23*I23*J23)</f>
        <v>78</v>
      </c>
      <c r="U23" s="216" t="n">
        <f aca="false">IF(ISERROR(R23*J23),0,R23*J23)</f>
        <v>6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PHOSPX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57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false" outlineLevel="0" collapsed="false">
      <c r="A24" s="204" t="s">
        <v>78</v>
      </c>
      <c r="B24" s="205" t="n">
        <v>0</v>
      </c>
      <c r="C24" s="205" t="n">
        <v>1.03785046728972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Vaucheria sp.</v>
      </c>
      <c r="E24" s="222" t="e">
        <f aca="false">IF(D24="",0,VLOOKUP(D24,D$22:D23,1,0))</f>
        <v>#N/A</v>
      </c>
      <c r="F24" s="223" t="n">
        <f aca="false">($B24*$B$7+$C24*$C$7)/100</f>
        <v>1.03785046728972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4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Vaucheria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6193</v>
      </c>
      <c r="Q24" s="215" t="n">
        <f aca="false">IF(ISTEXT(H24),"",(B24*$B$7/100)+(C24*$C$7/100))</f>
        <v>1.03785046728972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12</v>
      </c>
      <c r="T24" s="216" t="n">
        <f aca="false">IF(ISERROR(R24*I24*J24),0,R24*I24*J24)</f>
        <v>12</v>
      </c>
      <c r="U24" s="225" t="n">
        <f aca="false">IF(ISERROR(R24*J24),0,R24*J24)</f>
        <v>3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VAUSPX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82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false" outlineLevel="0" collapsed="false">
      <c r="A25" s="226" t="s">
        <v>79</v>
      </c>
      <c r="B25" s="205" t="n">
        <v>0</v>
      </c>
      <c r="C25" s="205" t="n">
        <v>0.0005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Amblystegium fluviatile</v>
      </c>
      <c r="E25" s="222" t="e">
        <f aca="false">IF(D25="",0,VLOOKUP(D25,D$22:D24,1,0))</f>
        <v>#N/A</v>
      </c>
      <c r="F25" s="223" t="n">
        <f aca="false">($B25*$B$7+$C25*$C$7)/100</f>
        <v>0.0005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11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Amblystegium fluviatile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1223</v>
      </c>
      <c r="Q25" s="215" t="n">
        <f aca="false">IF(ISTEXT(H25),"",(B25*$B$7/100)+(C25*$C$7/100))</f>
        <v>0.0005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11</v>
      </c>
      <c r="T25" s="216" t="n">
        <f aca="false">IF(ISERROR(R25*I25*J25),0,R25*I25*J25)</f>
        <v>22</v>
      </c>
      <c r="U25" s="225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AMBFLU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147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false" outlineLevel="0" collapsed="false">
      <c r="A26" s="226" t="s">
        <v>80</v>
      </c>
      <c r="B26" s="205" t="n">
        <v>0</v>
      </c>
      <c r="C26" s="205" t="n">
        <v>0.0005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Cinclidotus danubicus</v>
      </c>
      <c r="E26" s="222" t="e">
        <f aca="false">IF(D26="",0,VLOOKUP(D26,D$22:D25,1,0))</f>
        <v>#N/A</v>
      </c>
      <c r="F26" s="223" t="n">
        <f aca="false">($B26*$B$7+$C26*$C$7)/100</f>
        <v>0.0005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Cinclidotus danubicus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1319</v>
      </c>
      <c r="Q26" s="215" t="n">
        <f aca="false">IF(ISTEXT(H26),"",(B26*$B$7/100)+(C26*$C$7/100))</f>
        <v>0.0005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39</v>
      </c>
      <c r="U26" s="225" t="n">
        <f aca="false">IF(ISERROR(R26*J26),0,R26*J26)</f>
        <v>3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CINDAN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171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false" outlineLevel="0" collapsed="false">
      <c r="A27" s="226" t="s">
        <v>81</v>
      </c>
      <c r="B27" s="205" t="n">
        <v>0</v>
      </c>
      <c r="C27" s="205" t="n">
        <v>0.0005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Cinclidotus fontinaloides</v>
      </c>
      <c r="E27" s="222" t="e">
        <f aca="false">IF(D27="",0,VLOOKUP(D27,D$22:D26,1,0))</f>
        <v>#N/A</v>
      </c>
      <c r="F27" s="223" t="n">
        <f aca="false">($B27*$B$7+$C27*$C$7)/100</f>
        <v>0.0005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Cinclidotus fontinaloides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1320</v>
      </c>
      <c r="Q27" s="215" t="n">
        <f aca="false">IF(ISTEXT(H27),"",(B27*$B$7/100)+(C27*$C$7/100))</f>
        <v>0.0005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12</v>
      </c>
      <c r="T27" s="216" t="n">
        <f aca="false">IF(ISERROR(R27*I27*J27),0,R27*I27*J27)</f>
        <v>24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27"/>
      <c r="Y27" s="219" t="str">
        <f aca="false">IF(A27="new.cod","NEWCOD",IF(AND((Z27=""),ISTEXT(A27)),A27,IF(Z27="","",INDEX('[1]liste reference'!$A$8:$A$904,Z27))))</f>
        <v>CINFON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172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false" outlineLevel="0" collapsed="false">
      <c r="A28" s="226" t="s">
        <v>82</v>
      </c>
      <c r="B28" s="205" t="n">
        <v>0</v>
      </c>
      <c r="C28" s="205" t="n">
        <v>0.0005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Fontinalis antipyretica</v>
      </c>
      <c r="E28" s="222" t="e">
        <f aca="false">IF(D28="",0,VLOOKUP(D28,D$22:D27,1,0))</f>
        <v>#N/A</v>
      </c>
      <c r="F28" s="223" t="n">
        <f aca="false">($B28*$B$7+$C28*$C$7)/100</f>
        <v>0.0005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Fontinalis antipyretica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1310</v>
      </c>
      <c r="Q28" s="215" t="n">
        <f aca="false">IF(ISTEXT(H28),"",(B28*$B$7/100)+(C28*$C$7/100))</f>
        <v>0.0005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10</v>
      </c>
      <c r="T28" s="216" t="n">
        <f aca="false">IF(ISERROR(R28*I28*J28),0,R28*I28*J28)</f>
        <v>10</v>
      </c>
      <c r="U28" s="225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FONANT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210</v>
      </c>
      <c r="AA28" s="220"/>
      <c r="AB28" s="221"/>
      <c r="AC28" s="221"/>
      <c r="BB28" s="10" t="n">
        <f aca="false">IF(A28="","",1)</f>
        <v>1</v>
      </c>
    </row>
    <row r="29" customFormat="false" ht="15" hidden="false" customHeight="false" outlineLevel="0" collapsed="false">
      <c r="A29" s="226" t="s">
        <v>83</v>
      </c>
      <c r="B29" s="205" t="n">
        <v>0</v>
      </c>
      <c r="C29" s="205" t="n">
        <v>0.0005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Octodiceras fontanum</v>
      </c>
      <c r="E29" s="222" t="e">
        <f aca="false">IF(D29="",0,VLOOKUP(D29,D$22:D28,1,0))</f>
        <v>#N/A</v>
      </c>
      <c r="F29" s="223" t="n">
        <f aca="false">($B29*$B$7+$C29*$C$7)/100</f>
        <v>0.0005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7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Octodiceras fontanum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1303</v>
      </c>
      <c r="Q29" s="215" t="n">
        <f aca="false">IF(ISTEXT(H29),"",(B29*$B$7/100)+(C29*$C$7/100))</f>
        <v>0.0005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7</v>
      </c>
      <c r="T29" s="216" t="n">
        <f aca="false">IF(ISERROR(R29*I29*J29),0,R29*I29*J29)</f>
        <v>21</v>
      </c>
      <c r="U29" s="225" t="n">
        <f aca="false">IF(ISERROR(R29*J29),0,R29*J29)</f>
        <v>3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OCTFON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228</v>
      </c>
      <c r="AA29" s="220"/>
      <c r="AB29" s="221"/>
      <c r="AC29" s="221"/>
      <c r="BB29" s="10" t="n">
        <f aca="false">IF(A29="","",1)</f>
        <v>1</v>
      </c>
    </row>
    <row r="30" customFormat="false" ht="15" hidden="false" customHeight="false" outlineLevel="0" collapsed="false">
      <c r="A30" s="228" t="s">
        <v>84</v>
      </c>
      <c r="B30" s="205" t="n">
        <v>0</v>
      </c>
      <c r="C30" s="205" t="n">
        <v>0.044392523364486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Ceratophyllum demersum</v>
      </c>
      <c r="E30" s="222" t="e">
        <f aca="false">IF(D30="",0,VLOOKUP(D30,D$22:D29,1,0))</f>
        <v>#N/A</v>
      </c>
      <c r="F30" s="223" t="n">
        <f aca="false">($B30*$B$7+$C30*$C$7)/100</f>
        <v>0.044392523364486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PHy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7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5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Ceratophyllum demersum</v>
      </c>
      <c r="L30" s="224"/>
      <c r="M30" s="224"/>
      <c r="N30" s="224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1717</v>
      </c>
      <c r="Q30" s="215" t="n">
        <f aca="false">IF(ISTEXT(H30),"",(B30*$B$7/100)+(C30*$C$7/100))</f>
        <v>0.044392523364486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5</v>
      </c>
      <c r="T30" s="216" t="n">
        <f aca="false">IF(ISERROR(R30*I30*J30),0,R30*I30*J30)</f>
        <v>10</v>
      </c>
      <c r="U30" s="225" t="n">
        <f aca="false">IF(ISERROR(R30*J30),0,R30*J30)</f>
        <v>2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CERDEM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330</v>
      </c>
      <c r="AA30" s="220"/>
      <c r="AB30" s="221"/>
      <c r="AC30" s="221"/>
      <c r="BB30" s="10" t="n">
        <f aca="false">IF(A30="","",1)</f>
        <v>1</v>
      </c>
    </row>
    <row r="31" customFormat="false" ht="15" hidden="false" customHeight="false" outlineLevel="0" collapsed="false">
      <c r="A31" s="228" t="s">
        <v>85</v>
      </c>
      <c r="B31" s="205" t="n">
        <v>0</v>
      </c>
      <c r="C31" s="205" t="n">
        <v>2.44158878504673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Egeria densa</v>
      </c>
      <c r="E31" s="222" t="e">
        <f aca="false">IF(D31="",0,VLOOKUP(D31,D$22:D30,1,0))</f>
        <v>#N/A</v>
      </c>
      <c r="F31" s="223" t="n">
        <f aca="false">($B31*$B$7+$C31*$C$7)/100</f>
        <v>2.44158878504673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PHy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7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Egeria densa</v>
      </c>
      <c r="L31" s="224"/>
      <c r="M31" s="224"/>
      <c r="N31" s="224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19626</v>
      </c>
      <c r="Q31" s="215" t="n">
        <f aca="false">IF(ISTEXT(H31),"",(B31*$B$7/100)+(C31*$C$7/100))</f>
        <v>2.44158878504673</v>
      </c>
      <c r="R31" s="216" t="n">
        <f aca="false">IF(OR(ISTEXT(H31),Q31=0),"",IF(Q31&lt;0.1,1,IF(Q31&lt;1,2,IF(Q31&lt;10,3,IF(Q31&lt;50,4,IF(Q31&gt;=50,5,""))))))</f>
        <v>3</v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EGEDEN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337</v>
      </c>
      <c r="AA31" s="220"/>
      <c r="AB31" s="221"/>
      <c r="AC31" s="221"/>
      <c r="BB31" s="10" t="n">
        <f aca="false">IF(A31="","",1)</f>
        <v>1</v>
      </c>
    </row>
    <row r="32" customFormat="false" ht="15" hidden="false" customHeight="false" outlineLevel="0" collapsed="false">
      <c r="A32" s="228" t="s">
        <v>86</v>
      </c>
      <c r="B32" s="205" t="n">
        <v>0</v>
      </c>
      <c r="C32" s="205" t="n">
        <v>0.88785046728972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Myriophyllum spicatum</v>
      </c>
      <c r="E32" s="222" t="e">
        <f aca="false">IF(D32="",0,VLOOKUP(D32,D$22:D31,1,0))</f>
        <v>#N/A</v>
      </c>
      <c r="F32" s="223" t="n">
        <f aca="false">($B32*$B$7+$C32*$C$7)/100</f>
        <v>0.88785046728972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PHy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7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8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Myriophyllum spicatum</v>
      </c>
      <c r="L32" s="224"/>
      <c r="M32" s="224"/>
      <c r="N32" s="224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1778</v>
      </c>
      <c r="Q32" s="215" t="n">
        <f aca="false">IF(ISTEXT(H32),"",(B32*$B$7/100)+(C32*$C$7/100))</f>
        <v>0.88785046728972</v>
      </c>
      <c r="R32" s="216" t="n">
        <f aca="false">IF(OR(ISTEXT(H32),Q32=0),"",IF(Q32&lt;0.1,1,IF(Q32&lt;1,2,IF(Q32&lt;10,3,IF(Q32&lt;50,4,IF(Q32&gt;=50,5,""))))))</f>
        <v>2</v>
      </c>
      <c r="S32" s="216" t="n">
        <f aca="false">IF(ISERROR(R32*I32),0,R32*I32)</f>
        <v>16</v>
      </c>
      <c r="T32" s="216" t="n">
        <f aca="false">IF(ISERROR(R32*I32*J32),0,R32*I32*J32)</f>
        <v>32</v>
      </c>
      <c r="U32" s="225" t="n">
        <f aca="false">IF(ISERROR(R32*J32),0,R32*J32)</f>
        <v>4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MYRSPI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373</v>
      </c>
      <c r="AA32" s="220"/>
      <c r="AB32" s="221"/>
      <c r="AC32" s="221"/>
      <c r="BB32" s="10" t="n">
        <f aca="false">IF(A32="","",1)</f>
        <v>1</v>
      </c>
    </row>
    <row r="33" customFormat="false" ht="15" hidden="false" customHeight="false" outlineLevel="0" collapsed="false">
      <c r="A33" s="228" t="s">
        <v>87</v>
      </c>
      <c r="B33" s="205" t="n">
        <v>0</v>
      </c>
      <c r="C33" s="205" t="n">
        <v>0.044392523364486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Najas marina</v>
      </c>
      <c r="E33" s="222" t="e">
        <f aca="false">IF(D33="",0,VLOOKUP(D33,D$22:D32,1,0))</f>
        <v>#N/A</v>
      </c>
      <c r="F33" s="223" t="n">
        <f aca="false">($B33*$B$7+$C33*$C$7)/100</f>
        <v>0.044392523364486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7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5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3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Najas marina</v>
      </c>
      <c r="L33" s="224"/>
      <c r="M33" s="224"/>
      <c r="N33" s="224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1835</v>
      </c>
      <c r="Q33" s="215" t="n">
        <f aca="false">IF(ISTEXT(H33),"",(B33*$B$7/100)+(C33*$C$7/100))</f>
        <v>0.044392523364486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5</v>
      </c>
      <c r="T33" s="216" t="n">
        <f aca="false">IF(ISERROR(R33*I33*J33),0,R33*I33*J33)</f>
        <v>15</v>
      </c>
      <c r="U33" s="225" t="n">
        <f aca="false">IF(ISERROR(R33*J33),0,R33*J33)</f>
        <v>3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NAJMAR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379</v>
      </c>
      <c r="AA33" s="220"/>
      <c r="AB33" s="221"/>
      <c r="AC33" s="221"/>
      <c r="BB33" s="10" t="n">
        <f aca="false">IF(A33="","",1)</f>
        <v>1</v>
      </c>
    </row>
    <row r="34" customFormat="false" ht="15" hidden="false" customHeight="false" outlineLevel="0" collapsed="false">
      <c r="A34" s="228" t="s">
        <v>88</v>
      </c>
      <c r="B34" s="205" t="n">
        <v>0</v>
      </c>
      <c r="C34" s="205" t="n">
        <v>2.44158878504673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Potamogeton nodosus</v>
      </c>
      <c r="E34" s="222" t="e">
        <f aca="false">IF(D34="",0,VLOOKUP(D34,D$22:D33,1,0))</f>
        <v>#N/A</v>
      </c>
      <c r="F34" s="229" t="n">
        <f aca="false">($B34*$B$7+$C34*$C$7)/100</f>
        <v>2.44158878504673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PHy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7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4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3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Potamogeton nodosus</v>
      </c>
      <c r="L34" s="224"/>
      <c r="M34" s="224"/>
      <c r="N34" s="224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1652</v>
      </c>
      <c r="Q34" s="215" t="n">
        <f aca="false">IF(ISTEXT(H34),"",(B34*$B$7/100)+(C34*$C$7/100))</f>
        <v>2.44158878504673</v>
      </c>
      <c r="R34" s="216" t="n">
        <f aca="false">IF(OR(ISTEXT(H34),Q34=0),"",IF(Q34&lt;0.1,1,IF(Q34&lt;1,2,IF(Q34&lt;10,3,IF(Q34&lt;50,4,IF(Q34&gt;=50,5,""))))))</f>
        <v>3</v>
      </c>
      <c r="S34" s="216" t="n">
        <f aca="false">IF(ISERROR(R34*I34),0,R34*I34)</f>
        <v>12</v>
      </c>
      <c r="T34" s="216" t="n">
        <f aca="false">IF(ISERROR(R34*I34*J34),0,R34*I34*J34)</f>
        <v>36</v>
      </c>
      <c r="U34" s="225" t="n">
        <f aca="false">IF(ISERROR(R34*J34),0,R34*J34)</f>
        <v>9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POTNOD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418</v>
      </c>
      <c r="AA34" s="220"/>
      <c r="AB34" s="221"/>
      <c r="AC34" s="221"/>
      <c r="BB34" s="10" t="n">
        <f aca="false">IF(A34="","",1)</f>
        <v>1</v>
      </c>
    </row>
    <row r="35" customFormat="false" ht="15" hidden="false" customHeight="false" outlineLevel="0" collapsed="false">
      <c r="A35" s="228" t="s">
        <v>89</v>
      </c>
      <c r="B35" s="205" t="n">
        <v>0</v>
      </c>
      <c r="C35" s="205" t="n">
        <v>5.01635514018692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Potamogeton pectinatus</v>
      </c>
      <c r="E35" s="222" t="e">
        <f aca="false">IF(D35="",0,VLOOKUP(D35,D$22:D34,1,0))</f>
        <v>#N/A</v>
      </c>
      <c r="F35" s="229" t="n">
        <f aca="false">($B35*$B$7+$C35*$C$7)/100</f>
        <v>5.01635514018692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PHy</v>
      </c>
      <c r="H35" s="209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7</v>
      </c>
      <c r="I35" s="210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2</v>
      </c>
      <c r="J35" s="210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2</v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Potamogeton pectinatus</v>
      </c>
      <c r="L35" s="224"/>
      <c r="M35" s="224"/>
      <c r="N35" s="224"/>
      <c r="O35" s="213"/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1655</v>
      </c>
      <c r="Q35" s="215" t="n">
        <f aca="false">IF(ISTEXT(H35),"",(B35*$B$7/100)+(C35*$C$7/100))</f>
        <v>5.01635514018692</v>
      </c>
      <c r="R35" s="216" t="n">
        <f aca="false">IF(OR(ISTEXT(H35),Q35=0),"",IF(Q35&lt;0.1,1,IF(Q35&lt;1,2,IF(Q35&lt;10,3,IF(Q35&lt;50,4,IF(Q35&gt;=50,5,""))))))</f>
        <v>3</v>
      </c>
      <c r="S35" s="216" t="n">
        <f aca="false">IF(ISERROR(R35*I35),0,R35*I35)</f>
        <v>6</v>
      </c>
      <c r="T35" s="216" t="n">
        <f aca="false">IF(ISERROR(R35*I35*J35),0,R35*I35*J35)</f>
        <v>12</v>
      </c>
      <c r="U35" s="225" t="n">
        <f aca="false">IF(ISERROR(R35*J35),0,R35*J35)</f>
        <v>6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POTPEC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421</v>
      </c>
      <c r="AA35" s="220"/>
      <c r="AB35" s="221"/>
      <c r="AC35" s="221"/>
      <c r="BB35" s="10" t="n">
        <f aca="false">IF(A35="","",1)</f>
        <v>1</v>
      </c>
    </row>
    <row r="36" customFormat="false" ht="15" hidden="false" customHeight="false" outlineLevel="0" collapsed="false">
      <c r="A36" s="228" t="s">
        <v>90</v>
      </c>
      <c r="B36" s="205" t="n">
        <v>0</v>
      </c>
      <c r="C36" s="205" t="n">
        <v>0.66588785046729</v>
      </c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Potamogeton perfoliatus</v>
      </c>
      <c r="E36" s="222" t="e">
        <f aca="false">IF(D36="",0,VLOOKUP(D36,D$22:D35,1,0))</f>
        <v>#N/A</v>
      </c>
      <c r="F36" s="229" t="n">
        <f aca="false">($B36*$B$7+$C36*$C$7)/100</f>
        <v>0.66588785046729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PHy</v>
      </c>
      <c r="H36" s="209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7</v>
      </c>
      <c r="I36" s="210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9</v>
      </c>
      <c r="J36" s="210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Potamogeton perfoliatus</v>
      </c>
      <c r="L36" s="224"/>
      <c r="M36" s="224"/>
      <c r="N36" s="224"/>
      <c r="O36" s="213"/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1656</v>
      </c>
      <c r="Q36" s="215" t="n">
        <f aca="false">IF(ISTEXT(H36),"",(B36*$B$7/100)+(C36*$C$7/100))</f>
        <v>0.66588785046729</v>
      </c>
      <c r="R36" s="216" t="n">
        <f aca="false">IF(OR(ISTEXT(H36),Q36=0),"",IF(Q36&lt;0.1,1,IF(Q36&lt;1,2,IF(Q36&lt;10,3,IF(Q36&lt;50,4,IF(Q36&gt;=50,5,""))))))</f>
        <v>2</v>
      </c>
      <c r="S36" s="216" t="n">
        <f aca="false">IF(ISERROR(R36*I36),0,R36*I36)</f>
        <v>18</v>
      </c>
      <c r="T36" s="216" t="n">
        <f aca="false">IF(ISERROR(R36*I36*J36),0,R36*I36*J36)</f>
        <v>36</v>
      </c>
      <c r="U36" s="225" t="n">
        <f aca="false">IF(ISERROR(R36*J36),0,R36*J36)</f>
        <v>4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>POTPER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422</v>
      </c>
      <c r="AA36" s="220"/>
      <c r="AB36" s="221"/>
      <c r="AC36" s="221"/>
      <c r="BB36" s="10" t="n">
        <f aca="false">IF(A36="","",1)</f>
        <v>1</v>
      </c>
    </row>
    <row r="37" customFormat="false" ht="15" hidden="false" customHeight="false" outlineLevel="0" collapsed="false">
      <c r="A37" s="228" t="s">
        <v>91</v>
      </c>
      <c r="B37" s="205" t="n">
        <v>0</v>
      </c>
      <c r="C37" s="205" t="n">
        <v>0.710280373831776</v>
      </c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Vallisneria spiralis</v>
      </c>
      <c r="E37" s="222" t="e">
        <f aca="false">IF(D37="",0,VLOOKUP(D37,D$22:D36,1,0))</f>
        <v>#N/A</v>
      </c>
      <c r="F37" s="229" t="n">
        <f aca="false">($B37*$B$7+$C37*$C$7)/100</f>
        <v>0.710280373831776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PHy</v>
      </c>
      <c r="H37" s="209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7</v>
      </c>
      <c r="I37" s="210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8</v>
      </c>
      <c r="J37" s="210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2</v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Vallisneria spiralis</v>
      </c>
      <c r="L37" s="224"/>
      <c r="M37" s="224"/>
      <c r="N37" s="224"/>
      <c r="O37" s="213"/>
      <c r="P37" s="214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1598</v>
      </c>
      <c r="Q37" s="215" t="n">
        <f aca="false">IF(ISTEXT(H37),"",(B37*$B$7/100)+(C37*$C$7/100))</f>
        <v>0.710280373831776</v>
      </c>
      <c r="R37" s="216" t="n">
        <f aca="false">IF(OR(ISTEXT(H37),Q37=0),"",IF(Q37&lt;0.1,1,IF(Q37&lt;1,2,IF(Q37&lt;10,3,IF(Q37&lt;50,4,IF(Q37&gt;=50,5,""))))))</f>
        <v>2</v>
      </c>
      <c r="S37" s="216" t="n">
        <f aca="false">IF(ISERROR(R37*I37),0,R37*I37)</f>
        <v>16</v>
      </c>
      <c r="T37" s="216" t="n">
        <f aca="false">IF(ISERROR(R37*I37*J37),0,R37*I37*J37)</f>
        <v>32</v>
      </c>
      <c r="U37" s="225" t="n">
        <f aca="false">IF(ISERROR(R37*J37),0,R37*J37)</f>
        <v>4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>VALSPI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498</v>
      </c>
      <c r="AA37" s="220"/>
      <c r="AB37" s="221"/>
      <c r="AC37" s="221"/>
      <c r="BB37" s="10" t="n">
        <f aca="false">IF(A37="","",1)</f>
        <v>1</v>
      </c>
    </row>
    <row r="38" customFormat="false" ht="15" hidden="false" customHeight="false" outlineLevel="0" collapsed="false">
      <c r="A38" s="230" t="s">
        <v>92</v>
      </c>
      <c r="B38" s="205" t="n">
        <v>0</v>
      </c>
      <c r="C38" s="205" t="n">
        <v>0.0005</v>
      </c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Iris pseudacorus</v>
      </c>
      <c r="E38" s="222" t="e">
        <f aca="false">IF(D38="",0,VLOOKUP(D38,D$22:D37,1,0))</f>
        <v>#N/A</v>
      </c>
      <c r="F38" s="229" t="n">
        <f aca="false">($B38*$B$7+$C38*$C$7)/100</f>
        <v>0.0005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PHe</v>
      </c>
      <c r="H38" s="209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8</v>
      </c>
      <c r="I38" s="210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10</v>
      </c>
      <c r="J38" s="210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1</v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Iris pseudacorus</v>
      </c>
      <c r="L38" s="224"/>
      <c r="M38" s="224"/>
      <c r="N38" s="224"/>
      <c r="O38" s="213"/>
      <c r="P38" s="214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1601</v>
      </c>
      <c r="Q38" s="215" t="n">
        <f aca="false">IF(ISTEXT(H38),"",(B38*$B$7/100)+(C38*$C$7/100))</f>
        <v>0.0005</v>
      </c>
      <c r="R38" s="216" t="n">
        <f aca="false">IF(OR(ISTEXT(H38),Q38=0),"",IF(Q38&lt;0.1,1,IF(Q38&lt;1,2,IF(Q38&lt;10,3,IF(Q38&lt;50,4,IF(Q38&gt;=50,5,""))))))</f>
        <v>1</v>
      </c>
      <c r="S38" s="216" t="n">
        <f aca="false">IF(ISERROR(R38*I38),0,R38*I38)</f>
        <v>10</v>
      </c>
      <c r="T38" s="216" t="n">
        <f aca="false">IF(ISERROR(R38*I38*J38),0,R38*I38*J38)</f>
        <v>10</v>
      </c>
      <c r="U38" s="225" t="n">
        <f aca="false">IF(ISERROR(R38*J38),0,R38*J38)</f>
        <v>1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>IRIPSE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582</v>
      </c>
      <c r="AA38" s="220"/>
      <c r="AB38" s="221"/>
      <c r="AC38" s="221"/>
      <c r="BB38" s="10" t="n">
        <f aca="false">IF(A38="","",1)</f>
        <v>1</v>
      </c>
    </row>
    <row r="39" customFormat="false" ht="15" hidden="false" customHeight="false" outlineLevel="0" collapsed="false">
      <c r="A39" s="230" t="s">
        <v>93</v>
      </c>
      <c r="B39" s="205" t="n">
        <v>0</v>
      </c>
      <c r="C39" s="205" t="n">
        <v>0.0005</v>
      </c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Phalaris arundinacea</v>
      </c>
      <c r="E39" s="222" t="e">
        <f aca="false">IF(D39="",0,VLOOKUP(D39,D$22:D38,1,0))</f>
        <v>#N/A</v>
      </c>
      <c r="F39" s="229" t="n">
        <f aca="false">($B39*$B$7+$C39*$C$7)/100</f>
        <v>0.0005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PHe</v>
      </c>
      <c r="H39" s="209" t="n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8</v>
      </c>
      <c r="I39" s="210" t="n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>10</v>
      </c>
      <c r="J39" s="210" t="n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>1</v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Phalaris arundinacea</v>
      </c>
      <c r="L39" s="224"/>
      <c r="M39" s="224"/>
      <c r="N39" s="224"/>
      <c r="O39" s="213"/>
      <c r="P39" s="214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1577</v>
      </c>
      <c r="Q39" s="215" t="n">
        <f aca="false">IF(ISTEXT(H39),"",(B39*$B$7/100)+(C39*$C$7/100))</f>
        <v>0.0005</v>
      </c>
      <c r="R39" s="216" t="n">
        <f aca="false">IF(OR(ISTEXT(H39),Q39=0),"",IF(Q39&lt;0.1,1,IF(Q39&lt;1,2,IF(Q39&lt;10,3,IF(Q39&lt;50,4,IF(Q39&gt;=50,5,""))))))</f>
        <v>1</v>
      </c>
      <c r="S39" s="216" t="n">
        <f aca="false">IF(ISERROR(R39*I39),0,R39*I39)</f>
        <v>10</v>
      </c>
      <c r="T39" s="216" t="n">
        <f aca="false">IF(ISERROR(R39*I39*J39),0,R39*I39*J39)</f>
        <v>10</v>
      </c>
      <c r="U39" s="225" t="n">
        <f aca="false">IF(ISERROR(R39*J39),0,R39*J39)</f>
        <v>1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>PHAARU</v>
      </c>
      <c r="Z39" s="10" t="n">
        <f aca="false">IF(ISERROR(MATCH(A39,'[1]liste reference'!$A$8:$A$904,0)),IF(ISERROR(MATCH(A39,'[1]liste reference'!$B$8:$B$904,0)),"",(MATCH(A39,'[1]liste reference'!$B$8:$B$904,0))),(MATCH(A39,'[1]liste reference'!$A$8:$A$904,0)))</f>
        <v>634</v>
      </c>
      <c r="AA39" s="220"/>
      <c r="AB39" s="221"/>
      <c r="AC39" s="221"/>
      <c r="BB39" s="10" t="n">
        <f aca="false">IF(A39="","",1)</f>
        <v>1</v>
      </c>
    </row>
    <row r="40" customFormat="false" ht="15" hidden="false" customHeight="false" outlineLevel="0" collapsed="false">
      <c r="A40" s="230" t="s">
        <v>94</v>
      </c>
      <c r="B40" s="205" t="n">
        <v>0</v>
      </c>
      <c r="C40" s="205" t="n">
        <v>0.0005</v>
      </c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Phragmites australis</v>
      </c>
      <c r="E40" s="222" t="e">
        <f aca="false">IF(D40="",0,VLOOKUP(D40,D$22:D39,1,0))</f>
        <v>#N/A</v>
      </c>
      <c r="F40" s="229" t="n">
        <f aca="false">($B40*$B$7+$C40*$C$7)/100</f>
        <v>0.0005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PHe</v>
      </c>
      <c r="H40" s="209" t="n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8</v>
      </c>
      <c r="I40" s="210" t="n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>9</v>
      </c>
      <c r="J40" s="210" t="n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>2</v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Phragmites australis</v>
      </c>
      <c r="L40" s="224"/>
      <c r="M40" s="224"/>
      <c r="N40" s="224"/>
      <c r="O40" s="213"/>
      <c r="P40" s="214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1579</v>
      </c>
      <c r="Q40" s="215" t="n">
        <f aca="false">IF(ISTEXT(H40),"",(B40*$B$7/100)+(C40*$C$7/100))</f>
        <v>0.0005</v>
      </c>
      <c r="R40" s="216" t="n">
        <f aca="false">IF(OR(ISTEXT(H40),Q40=0),"",IF(Q40&lt;0.1,1,IF(Q40&lt;1,2,IF(Q40&lt;10,3,IF(Q40&lt;50,4,IF(Q40&gt;=50,5,""))))))</f>
        <v>1</v>
      </c>
      <c r="S40" s="216" t="n">
        <f aca="false">IF(ISERROR(R40*I40),0,R40*I40)</f>
        <v>9</v>
      </c>
      <c r="T40" s="216" t="n">
        <f aca="false">IF(ISERROR(R40*I40*J40),0,R40*I40*J40)</f>
        <v>18</v>
      </c>
      <c r="U40" s="225" t="n">
        <f aca="false">IF(ISERROR(R40*J40),0,R40*J40)</f>
        <v>2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>PHRAUS</v>
      </c>
      <c r="Z40" s="10" t="n">
        <f aca="false">IF(ISERROR(MATCH(A40,'[1]liste reference'!$A$8:$A$904,0)),IF(ISERROR(MATCH(A40,'[1]liste reference'!$B$8:$B$904,0)),"",(MATCH(A40,'[1]liste reference'!$B$8:$B$904,0))),(MATCH(A40,'[1]liste reference'!$A$8:$A$904,0)))</f>
        <v>635</v>
      </c>
      <c r="AA40" s="220"/>
      <c r="AB40" s="221"/>
      <c r="AC40" s="221"/>
      <c r="BB40" s="10" t="n">
        <f aca="false">IF(A40="","",1)</f>
        <v>1</v>
      </c>
    </row>
    <row r="41" customFormat="false" ht="15" hidden="false" customHeight="false" outlineLevel="0" collapsed="false">
      <c r="A41" s="231" t="s">
        <v>95</v>
      </c>
      <c r="B41" s="205" t="n">
        <v>0</v>
      </c>
      <c r="C41" s="205" t="n">
        <v>0.0005</v>
      </c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2" t="n">
        <f aca="false">IF(D41="",0,VLOOKUP(D41,D$22:D40,1,0))</f>
        <v>0</v>
      </c>
      <c r="F41" s="229" t="n">
        <f aca="false">($B41*$B$7+$C41*$C$7)/100</f>
        <v>0.0005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>    -</v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>Mougeotiopsis sp.</v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No</v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>newcod</v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 t="s">
        <v>96</v>
      </c>
      <c r="AC41" s="221"/>
      <c r="BB41" s="10" t="n">
        <f aca="false">IF(A41="","",1)</f>
        <v>1</v>
      </c>
    </row>
    <row r="42" customFormat="false" ht="12.75" hidden="false" customHeight="false" outlineLevel="0" collapsed="false">
      <c r="A42" s="232"/>
      <c r="B42" s="233"/>
      <c r="C42" s="23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2" t="n">
        <f aca="false">IF(D42="",0,VLOOKUP(D42,D$22:D41,1,0))</f>
        <v>0</v>
      </c>
      <c r="F42" s="229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32"/>
      <c r="B43" s="233"/>
      <c r="C43" s="23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2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32"/>
      <c r="B44" s="233"/>
      <c r="C44" s="23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2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32"/>
      <c r="B45" s="233"/>
      <c r="C45" s="23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2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32"/>
      <c r="B46" s="233"/>
      <c r="C46" s="23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2" t="n">
        <f aca="false">IF(D46="",0,VLOOKUP(D46,D$22:D39,1,0))</f>
        <v>0</v>
      </c>
      <c r="F46" s="229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32"/>
      <c r="B47" s="233"/>
      <c r="C47" s="23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2" t="n">
        <f aca="false">IF(D47="",0,VLOOKUP(D47,D$22:D39,1,0))</f>
        <v>0</v>
      </c>
      <c r="F47" s="229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32"/>
      <c r="B48" s="233"/>
      <c r="C48" s="23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2" t="n">
        <f aca="false">IF(D48="",0,VLOOKUP(D48,D$22:D40,1,0))</f>
        <v>0</v>
      </c>
      <c r="F48" s="229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32"/>
      <c r="B49" s="233"/>
      <c r="C49" s="23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2" t="n">
        <f aca="false">IF(D49="",0,VLOOKUP(D49,D$22:D48,1,0))</f>
        <v>0</v>
      </c>
      <c r="F49" s="229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32"/>
      <c r="B50" s="233"/>
      <c r="C50" s="23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2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32"/>
      <c r="B51" s="233"/>
      <c r="C51" s="23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2" t="n">
        <f aca="false">IF(D51="",0,VLOOKUP(D51,D$22:D50,1,0))</f>
        <v>0</v>
      </c>
      <c r="F51" s="229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32"/>
      <c r="B52" s="233"/>
      <c r="C52" s="23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2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32"/>
      <c r="B53" s="233"/>
      <c r="C53" s="23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2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32"/>
      <c r="B54" s="233"/>
      <c r="C54" s="23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2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32"/>
      <c r="B55" s="233"/>
      <c r="C55" s="23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2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32"/>
      <c r="B56" s="233"/>
      <c r="C56" s="23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2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32"/>
      <c r="B57" s="233"/>
      <c r="C57" s="23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2" t="n">
        <f aca="false">IF(D57="",0,VLOOKUP(D57,D$21:D56,1,0))</f>
        <v>0</v>
      </c>
      <c r="F57" s="229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5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32"/>
      <c r="B58" s="233"/>
      <c r="C58" s="23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2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32"/>
      <c r="B59" s="233"/>
      <c r="C59" s="23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2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6"/>
      <c r="M59" s="236"/>
      <c r="N59" s="236"/>
      <c r="O59" s="213"/>
      <c r="P59" s="237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32"/>
      <c r="B60" s="233"/>
      <c r="C60" s="23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2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6"/>
      <c r="M60" s="236"/>
      <c r="N60" s="236"/>
      <c r="O60" s="213"/>
      <c r="P60" s="237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32"/>
      <c r="B61" s="233"/>
      <c r="C61" s="23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2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32"/>
      <c r="B62" s="233"/>
      <c r="C62" s="23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2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32"/>
      <c r="B63" s="233"/>
      <c r="C63" s="23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2" t="n">
        <f aca="false">IF(D63="",0,VLOOKUP(D63,D$22:D62,1,0))</f>
        <v>0</v>
      </c>
      <c r="F63" s="229" t="n">
        <f aca="false">($B63*$B$7+$C63*$C$7)/100</f>
        <v>0</v>
      </c>
      <c r="G63" s="238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9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32"/>
      <c r="B64" s="233"/>
      <c r="C64" s="23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2" t="n">
        <f aca="false">IF(D64="",0,VLOOKUP(D64,D$22:D52,1,0))</f>
        <v>0</v>
      </c>
      <c r="F64" s="229" t="n">
        <f aca="false">($B64*$B$7+$C64*$C$7)/100</f>
        <v>0</v>
      </c>
      <c r="G64" s="240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41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32"/>
      <c r="B65" s="233"/>
      <c r="C65" s="23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2" t="n">
        <f aca="false">IF(D65="",0,VLOOKUP(D65,D$22:D53,1,0))</f>
        <v>0</v>
      </c>
      <c r="F65" s="229" t="n">
        <f aca="false">($B65*$B$7+$C65*$C$7)/100</f>
        <v>0</v>
      </c>
      <c r="G65" s="240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41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32"/>
      <c r="B66" s="233"/>
      <c r="C66" s="23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2" t="n">
        <f aca="false">IF(D66="",0,VLOOKUP(D66,D$22:D51,1,0))</f>
        <v>0</v>
      </c>
      <c r="F66" s="229" t="n">
        <f aca="false">($B66*$B$7+$C66*$C$7)/100</f>
        <v>0</v>
      </c>
      <c r="G66" s="240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41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32"/>
      <c r="B67" s="233"/>
      <c r="C67" s="23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2" t="n">
        <f aca="false">IF(D67="",0,VLOOKUP(D67,D$22:D52,1,0))</f>
        <v>0</v>
      </c>
      <c r="F67" s="229" t="n">
        <f aca="false">($B67*$B$7+$C67*$C$7)/100</f>
        <v>0</v>
      </c>
      <c r="G67" s="240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41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32"/>
      <c r="B68" s="233"/>
      <c r="C68" s="23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2" t="n">
        <f aca="false">IF(D68="",0,VLOOKUP(D68,D$22:D53,1,0))</f>
        <v>0</v>
      </c>
      <c r="F68" s="229" t="n">
        <f aca="false">($B68*$B$7+$C68*$C$7)/100</f>
        <v>0</v>
      </c>
      <c r="G68" s="240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41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32"/>
      <c r="B69" s="233"/>
      <c r="C69" s="23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2" t="n">
        <f aca="false">IF(D69="",0,VLOOKUP(D69,D$22:D54,1,0))</f>
        <v>0</v>
      </c>
      <c r="F69" s="229" t="n">
        <f aca="false">($B69*$B$7+$C69*$C$7)/100</f>
        <v>0</v>
      </c>
      <c r="G69" s="240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41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32"/>
      <c r="B70" s="233"/>
      <c r="C70" s="23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2" t="n">
        <f aca="false">IF(D70="",0,VLOOKUP(D70,D$22:D55,1,0))</f>
        <v>0</v>
      </c>
      <c r="F70" s="229" t="n">
        <f aca="false">($B70*$B$7+$C70*$C$7)/100</f>
        <v>0</v>
      </c>
      <c r="G70" s="240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41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32"/>
      <c r="B71" s="233"/>
      <c r="C71" s="23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2" t="n">
        <f aca="false">IF(D71="",0,VLOOKUP(D71,D$22:D56,1,0))</f>
        <v>0</v>
      </c>
      <c r="F71" s="229" t="n">
        <f aca="false">($B71*$B$7+$C71*$C$7)/100</f>
        <v>0</v>
      </c>
      <c r="G71" s="240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41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32"/>
      <c r="B72" s="233"/>
      <c r="C72" s="23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2" t="n">
        <f aca="false">IF(D72="",0,VLOOKUP(D72,D$22:D57,1,0))</f>
        <v>0</v>
      </c>
      <c r="F72" s="229" t="n">
        <f aca="false">($B72*$B$7+$C72*$C$7)/100</f>
        <v>0</v>
      </c>
      <c r="G72" s="240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41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32"/>
      <c r="B73" s="233"/>
      <c r="C73" s="23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2" t="n">
        <f aca="false">IF(D73="",0,VLOOKUP(D73,D$22:D57,1,0))</f>
        <v>0</v>
      </c>
      <c r="F73" s="229" t="n">
        <f aca="false">($B73*$B$7+$C73*$C$7)/100</f>
        <v>0</v>
      </c>
      <c r="G73" s="240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41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32"/>
      <c r="B74" s="233"/>
      <c r="C74" s="23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2" t="n">
        <f aca="false">IF(D74="",0,VLOOKUP(D74,D$22:D58,1,0))</f>
        <v>0</v>
      </c>
      <c r="F74" s="229" t="n">
        <f aca="false">($B74*$B$7+$C74*$C$7)/100</f>
        <v>0</v>
      </c>
      <c r="G74" s="240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41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32"/>
      <c r="B75" s="233"/>
      <c r="C75" s="23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2" t="n">
        <f aca="false">IF(D75="",0,VLOOKUP(D75,D$22:D59,1,0))</f>
        <v>0</v>
      </c>
      <c r="F75" s="229" t="n">
        <f aca="false">($B75*$B$7+$C75*$C$7)/100</f>
        <v>0</v>
      </c>
      <c r="G75" s="240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41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32"/>
      <c r="B76" s="233"/>
      <c r="C76" s="23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2" t="n">
        <f aca="false">IF(D76="",0,VLOOKUP(D76,D$22:D59,1,0))</f>
        <v>0</v>
      </c>
      <c r="F76" s="229" t="n">
        <f aca="false">($B76*$B$7+$C76*$C$7)/100</f>
        <v>0</v>
      </c>
      <c r="G76" s="240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41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32"/>
      <c r="B77" s="233"/>
      <c r="C77" s="23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2" t="n">
        <f aca="false">IF(D77="",0,VLOOKUP(D77,D$22:D75,1,0))</f>
        <v>0</v>
      </c>
      <c r="F77" s="229" t="n">
        <f aca="false">($B77*$B$7+$C77*$C$7)/100</f>
        <v>0</v>
      </c>
      <c r="G77" s="240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41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32"/>
      <c r="B78" s="233"/>
      <c r="C78" s="23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2" t="n">
        <f aca="false">IF(D78="",0,VLOOKUP(D78,D$22:D75,1,0))</f>
        <v>0</v>
      </c>
      <c r="F78" s="229" t="n">
        <f aca="false">($B78*$B$7+$C78*$C$7)/100</f>
        <v>0</v>
      </c>
      <c r="G78" s="240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41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32"/>
      <c r="B79" s="233"/>
      <c r="C79" s="23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2" t="n">
        <f aca="false">IF(D79="",0,VLOOKUP(D79,D$22:D75,1,0))</f>
        <v>0</v>
      </c>
      <c r="F79" s="229" t="n">
        <f aca="false">($B79*$B$7+$C79*$C$7)/100</f>
        <v>0</v>
      </c>
      <c r="G79" s="240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41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32"/>
      <c r="B80" s="233"/>
      <c r="C80" s="23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2" t="n">
        <f aca="false">IF(D80="",0,VLOOKUP(D80,D$22:D79,1,0))</f>
        <v>0</v>
      </c>
      <c r="F80" s="229" t="n">
        <f aca="false">($B80*$B$7+$C80*$C$7)/100</f>
        <v>0</v>
      </c>
      <c r="G80" s="240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41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32"/>
      <c r="B81" s="233"/>
      <c r="C81" s="23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2" t="n">
        <f aca="false">IF(D81="",0,VLOOKUP(D81,D$21:D80,1,0))</f>
        <v>0</v>
      </c>
      <c r="F81" s="229" t="n">
        <f aca="false">($B81*$B$7+$C81*$C$7)/100</f>
        <v>0</v>
      </c>
      <c r="G81" s="240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41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6"/>
      <c r="M81" s="236"/>
      <c r="N81" s="236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2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3"/>
      <c r="B82" s="244"/>
      <c r="C82" s="245"/>
      <c r="D82" s="246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7" t="n">
        <f aca="false">IF(D82="",0,VLOOKUP(D82,D$20:D80,1,0))</f>
        <v>0</v>
      </c>
      <c r="F82" s="248" t="n">
        <f aca="false">($B82*$B$7+$C82*$C$7)/100</f>
        <v>0</v>
      </c>
      <c r="G82" s="249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50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51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2"/>
      <c r="M82" s="252"/>
      <c r="N82" s="252"/>
      <c r="O82" s="253"/>
      <c r="P82" s="25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5"/>
      <c r="X82" s="256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7" t="s">
        <v>97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8"/>
      <c r="Q83" s="258"/>
      <c r="R83" s="258"/>
      <c r="S83" s="258"/>
      <c r="T83" s="10"/>
      <c r="U83" s="10"/>
      <c r="V83" s="258"/>
      <c r="W83" s="258"/>
      <c r="X83" s="258"/>
      <c r="Y83" s="259"/>
      <c r="Z83" s="259"/>
      <c r="AA83" s="259"/>
      <c r="AB83" s="260"/>
      <c r="AC83" s="260"/>
      <c r="AD83" s="260"/>
    </row>
    <row r="84" customFormat="false" ht="12.75" hidden="true" customHeight="false" outlineLevel="0" collapsed="false">
      <c r="A84" s="261" t="str">
        <f aca="false">A3</f>
        <v>Rhône</v>
      </c>
      <c r="B84" s="262" t="str">
        <f aca="false">C3</f>
        <v>Rhône à Saint Vallier</v>
      </c>
      <c r="C84" s="263" t="n">
        <f aca="false">A4</f>
        <v>41543</v>
      </c>
      <c r="D84" s="264" t="n">
        <f aca="false">IF(ISERROR(SUM($T$23:$T$82)/SUM($U$23:$U$82)),"",SUM($T$23:$T$82)/SUM($U$23:$U$82))</f>
        <v>7.44642857142857</v>
      </c>
      <c r="E84" s="265" t="n">
        <f aca="false">N13</f>
        <v>19</v>
      </c>
      <c r="F84" s="262" t="n">
        <f aca="false">N14</f>
        <v>17</v>
      </c>
      <c r="G84" s="262" t="n">
        <f aca="false">N15</f>
        <v>4</v>
      </c>
      <c r="H84" s="262" t="n">
        <f aca="false">N16</f>
        <v>9</v>
      </c>
      <c r="I84" s="262" t="n">
        <f aca="false">N17</f>
        <v>4</v>
      </c>
      <c r="J84" s="266" t="n">
        <f aca="false">N8</f>
        <v>8.23529411764706</v>
      </c>
      <c r="K84" s="264" t="n">
        <f aca="false">N9</f>
        <v>3.20898392870255</v>
      </c>
      <c r="L84" s="265" t="n">
        <f aca="false">N10</f>
        <v>2</v>
      </c>
      <c r="M84" s="265" t="n">
        <f aca="false">N11</f>
        <v>13</v>
      </c>
      <c r="N84" s="264" t="n">
        <f aca="false">O8</f>
        <v>2</v>
      </c>
      <c r="O84" s="264" t="n">
        <f aca="false">O9</f>
        <v>0.685994340570035</v>
      </c>
      <c r="P84" s="265" t="n">
        <f aca="false">O10</f>
        <v>1</v>
      </c>
      <c r="Q84" s="265" t="n">
        <f aca="false">O11</f>
        <v>3</v>
      </c>
      <c r="R84" s="265" t="n">
        <f aca="false">F21</f>
        <v>18.8671168224299</v>
      </c>
      <c r="S84" s="265" t="n">
        <f aca="false">K11</f>
        <v>0</v>
      </c>
      <c r="T84" s="265" t="n">
        <f aca="false">K12</f>
        <v>2</v>
      </c>
      <c r="U84" s="265" t="n">
        <f aca="false">K13</f>
        <v>5</v>
      </c>
      <c r="V84" s="267" t="n">
        <f aca="false">K14</f>
        <v>0</v>
      </c>
      <c r="W84" s="268" t="n">
        <f aca="false">K15</f>
        <v>11</v>
      </c>
      <c r="Z84" s="269"/>
      <c r="AA84" s="269"/>
      <c r="AB84" s="260"/>
      <c r="AC84" s="260"/>
      <c r="AD84" s="26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0" t="s">
        <v>98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99</v>
      </c>
      <c r="R87" s="10"/>
      <c r="S87" s="217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100</v>
      </c>
      <c r="R88" s="10"/>
      <c r="S88" s="217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101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102</v>
      </c>
      <c r="R90" s="10"/>
      <c r="S90" s="271" t="n">
        <f aca="false">IF(ISERROR(SUM($T$23:$T$82)/SUM($U$23:$U$82)),"",(SUM($T$23:$T$82)-S88)/(SUM($U$23:$U$82)-S89))</f>
        <v>6.78</v>
      </c>
      <c r="T90" s="10"/>
    </row>
    <row r="91" customFormat="false" ht="12.75" hidden="false" customHeight="false" outlineLevel="0" collapsed="false">
      <c r="Q91" s="216" t="s">
        <v>103</v>
      </c>
      <c r="R91" s="216"/>
      <c r="S91" s="216" t="str">
        <f aca="false">INDEX('[1]liste reference'!$A$8:$A$904,$T$91)</f>
        <v>PHOSPX</v>
      </c>
      <c r="T91" s="10" t="n">
        <f aca="false">IF(ISERROR(MATCH($S$93,'[1]liste reference'!$A$8:$A$904,0)),MATCH($S$93,'[1]liste reference'!$B$8:$B$904,0),(MATCH($S$93,'[1]liste reference'!$A$8:$A$904,0)))</f>
        <v>57</v>
      </c>
      <c r="U91" s="260"/>
    </row>
    <row r="92" customFormat="false" ht="12.75" hidden="false" customHeight="false" outlineLevel="0" collapsed="false">
      <c r="Q92" s="10" t="s">
        <v>104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105</v>
      </c>
      <c r="R93" s="10"/>
      <c r="S93" s="216" t="str">
        <f aca="false">INDEX($A$23:$A$82,$S$92)</f>
        <v>PHOSPX</v>
      </c>
      <c r="T93" s="10"/>
    </row>
    <row r="94" customFormat="false" ht="12.75" hidden="false" customHeight="false" outlineLevel="0" collapsed="false">
      <c r="S94" s="26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42:A82">
    <cfRule type="expression" priority="2" aboveAverage="0" equalAverage="0" bottom="0" percent="0" rank="0" text="" dxfId="0">
      <formula>ISTEXT($E42)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41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2014-01-21T15:55:23Z</dcterms:created>
  <dc:creator>Laurent Bourgoin</dc:creator>
  <dc:description/>
  <dc:language>fr-FR</dc:language>
  <cp:lastModifiedBy>Laurent Bourgoin</cp:lastModifiedBy>
  <dcterms:modified xsi:type="dcterms:W3CDTF">2014-01-21T15:55:34Z</dcterms:modified>
  <cp:revision>0</cp:revision>
  <dc:subject/>
  <dc:title/>
</cp:coreProperties>
</file>