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#REF!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<sst xmlns="http://schemas.openxmlformats.org/spreadsheetml/2006/main" count="97" uniqueCount="93">
  <si>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</si>
  <si>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</si>
  <si>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</si>
  <si>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L.ISEBE; S.RENAHY</t>
  </si>
  <si>
    <t xml:space="preserve">conforme AFNOR T90-395 oct. 2003</t>
  </si>
  <si>
    <t xml:space="preserve">DORNE</t>
  </si>
  <si>
    <t xml:space="preserve">DORNE A DORNAS</t>
  </si>
  <si>
    <t xml:space="preserve">06106935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</si>
  <si>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</si>
  <si>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</si>
  <si>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</si>
  <si>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</si>
  <si>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</si>
  <si>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</si>
  <si>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</si>
  <si>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</si>
  <si>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</si>
  <si>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</si>
  <si>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</si>
  <si>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</si>
  <si>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</si>
  <si>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</si>
  <si>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</si>
  <si>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</si>
  <si>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</si>
  <si>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</si>
  <si>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</si>
  <si>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</si>
  <si>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</si>
  <si>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</si>
  <si>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</si>
  <si>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</si>
  <si>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</si>
  <si>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</si>
  <si>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</si>
  <si>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</si>
  <si>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</si>
  <si>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</si>
  <si>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</si>
  <si>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</si>
  <si>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</si>
  <si>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</si>
  <si>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</si>
  <si>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</si>
  <si>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</si>
  <si>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</si>
  <si>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</si>
  <si>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</si>
  <si>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</si>
  <si>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</si>
  <si>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</si>
  <si>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</si>
  <si>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</si>
  <si>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</si>
  <si>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</si>
  <si>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</si>
  <si>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</si>
  <si>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</si>
  <si>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</si>
  <si>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</si>
  <si>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</si>
  <si>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</si>
  <si>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</si>
  <si>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</si>
  <si>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</si>
  <si>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</si>
  <si>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</si>
  <si>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</si>
  <si>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</si>
  <si>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</si>
  <si>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</si>
  <si>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</si>
  <si>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</si>
  <si>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</si>
  <si>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</si>
  <si>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</si>
  <si>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</si>
  <si>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PHOSPX</t>
  </si>
  <si>
    <t xml:space="preserve">SPISPX</t>
  </si>
  <si>
    <t xml:space="preserve">ULOSPX</t>
  </si>
  <si>
    <t xml:space="preserve">BRARIV</t>
  </si>
  <si>
    <t xml:space="preserve">FONANT</t>
  </si>
  <si>
    <t xml:space="preserve">FONSQU</t>
  </si>
  <si>
    <t xml:space="preserve">RHYRIP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</si>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</sst>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i val="true"/>
      <sz val="11"/>
      <color rgb="FF000000"/>
      <name val="Calibri"/>
      <family val="2"/>
    </font>
    <font>
      <sz val="7"/>
      <name val="Arial"/>
      <family val="2"/>
    </font>
    <font>
      <i val="true"/>
      <sz val="11"/>
      <name val="Calibri"/>
      <family val="2"/>
    </font>
    <font>
      <sz val="8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  <fill>
      <patternFill patternType="solid">
        <fgColor rgb="FF99CCFF"/>
        <bgColor rgb="FFCCCCFF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6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7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30" fillId="7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1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2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8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7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  <fill>
        <patternFill>
          <bgColor rgb="FF969696"/>
        </patternFill>
      </fill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C0C0C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DORDO_18-06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41443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13.4444444444444</v>
      </c>
      <c r="M5" s="53"/>
      <c r="N5" s="54" t="s">
        <v>16</v>
      </c>
      <c r="O5" s="55" t="n">
        <v>13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90</v>
      </c>
      <c r="C7" s="67" t="n">
        <v>10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12.625</v>
      </c>
      <c r="O8" s="84" t="n">
        <f aca="false">IF(ISERROR(AVERAGE(J23:J82)),"      -",AVERAGE(J23:J82))</f>
        <v>1.625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1.04</v>
      </c>
      <c r="C9" s="87" t="n">
        <v>0.02</v>
      </c>
      <c r="D9" s="88"/>
      <c r="E9" s="88"/>
      <c r="F9" s="89" t="n">
        <f aca="false">($B9*$B$7+$C9*$C$7)/100</f>
        <v>0.938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2.3418742493994</v>
      </c>
      <c r="O9" s="84" t="n">
        <f aca="false">IF(ISERROR(STDEVP(J23:J82)),"      -",STDEVP(J23:J82))</f>
        <v>0.695970545353753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/>
      <c r="C10" s="99"/>
      <c r="D10" s="100"/>
      <c r="E10" s="100"/>
      <c r="F10" s="89"/>
      <c r="G10" s="90"/>
      <c r="H10" s="101"/>
      <c r="I10" s="102"/>
      <c r="J10" s="103" t="s">
        <v>32</v>
      </c>
      <c r="K10" s="103"/>
      <c r="L10" s="104"/>
      <c r="M10" s="105" t="s">
        <v>33</v>
      </c>
      <c r="N10" s="106" t="n">
        <f aca="false">MIN(I23:I82)</f>
        <v>10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34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35</v>
      </c>
      <c r="J11" s="114"/>
      <c r="K11" s="115" t="n">
        <f aca="false">COUNTIF($G$23:$G$82,"=HET")</f>
        <v>0</v>
      </c>
      <c r="L11" s="116"/>
      <c r="M11" s="105" t="s">
        <v>36</v>
      </c>
      <c r="N11" s="106" t="n">
        <f aca="false">MAX(I23:I82)</f>
        <v>16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37</v>
      </c>
      <c r="B12" s="118" t="n">
        <v>1.01</v>
      </c>
      <c r="C12" s="119"/>
      <c r="D12" s="111"/>
      <c r="E12" s="111"/>
      <c r="F12" s="112" t="n">
        <f aca="false">($B12*$B$7+$C12*$C$7)/100</f>
        <v>0.909</v>
      </c>
      <c r="G12" s="120"/>
      <c r="H12" s="68"/>
      <c r="I12" s="121" t="s">
        <v>38</v>
      </c>
      <c r="J12" s="121"/>
      <c r="K12" s="115" t="n">
        <f aca="false">COUNTIF($G$23:$G$82,"=ALG")</f>
        <v>4</v>
      </c>
      <c r="L12" s="122"/>
      <c r="M12" s="123"/>
      <c r="N12" s="124" t="s">
        <v>32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39</v>
      </c>
      <c r="B13" s="118" t="n">
        <v>0.03</v>
      </c>
      <c r="C13" s="119" t="n">
        <v>0.02</v>
      </c>
      <c r="D13" s="111"/>
      <c r="E13" s="111"/>
      <c r="F13" s="112" t="n">
        <f aca="false">($B13*$B$7+$C13*$C$7)/100</f>
        <v>0.029</v>
      </c>
      <c r="G13" s="120"/>
      <c r="H13" s="68"/>
      <c r="I13" s="121" t="s">
        <v>40</v>
      </c>
      <c r="J13" s="121"/>
      <c r="K13" s="115" t="n">
        <f aca="false">COUNTIF($G$23:$G$82,"=BRm")+COUNTIF($G$23:$G$82,"=BRh")</f>
        <v>4</v>
      </c>
      <c r="L13" s="116"/>
      <c r="M13" s="127" t="s">
        <v>41</v>
      </c>
      <c r="N13" s="128" t="n">
        <f aca="false">COUNTIF(F23:F82,"&gt;0")</f>
        <v>8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42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43</v>
      </c>
      <c r="J14" s="121"/>
      <c r="K14" s="115" t="n">
        <f aca="false">COUNTIF($G$23:$G$82,"=PTE")+COUNTIF($G$23:$G$82,"=LIC")</f>
        <v>0</v>
      </c>
      <c r="L14" s="116"/>
      <c r="M14" s="131" t="s">
        <v>44</v>
      </c>
      <c r="N14" s="132" t="n">
        <f aca="false">COUNTIF($I$23:$I$82,"&gt;-1")</f>
        <v>8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45</v>
      </c>
      <c r="B15" s="135"/>
      <c r="C15" s="136"/>
      <c r="D15" s="111"/>
      <c r="E15" s="111"/>
      <c r="F15" s="112" t="n">
        <f aca="false">($B15*$B$7+$C15*$C$7)/100</f>
        <v>0</v>
      </c>
      <c r="G15" s="120"/>
      <c r="H15" s="68"/>
      <c r="I15" s="121" t="s">
        <v>46</v>
      </c>
      <c r="J15" s="121"/>
      <c r="K15" s="115" t="n">
        <f aca="false">(COUNTIF($G$23:$G$82,"=PHy"))+(COUNTIF($G$23:$G$82,"=PHe"))+(COUNTIF($G$23:$G$82,"=PHg"))+(COUNTIF($G$23:$G$82,"=PHx"))</f>
        <v>0</v>
      </c>
      <c r="L15" s="116"/>
      <c r="M15" s="137" t="s">
        <v>47</v>
      </c>
      <c r="N15" s="138" t="n">
        <f aca="false">COUNTIF(J23:J82,"=1")</f>
        <v>4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48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49</v>
      </c>
      <c r="N16" s="138" t="n">
        <f aca="false">COUNTIF(J23:J82,"=2")</f>
        <v>3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50</v>
      </c>
      <c r="B17" s="118" t="n">
        <v>1.04</v>
      </c>
      <c r="C17" s="119" t="n">
        <v>0.02</v>
      </c>
      <c r="D17" s="111"/>
      <c r="E17" s="111"/>
      <c r="F17" s="143"/>
      <c r="G17" s="112" t="n">
        <f aca="false">($B17*$B$7+$C17*$C$7)/100</f>
        <v>0.938</v>
      </c>
      <c r="H17" s="68"/>
      <c r="I17" s="121"/>
      <c r="J17" s="121"/>
      <c r="K17" s="142"/>
      <c r="L17" s="116"/>
      <c r="M17" s="137" t="s">
        <v>51</v>
      </c>
      <c r="N17" s="138" t="n">
        <f aca="false">COUNTIF(J23:J82,"=3")</f>
        <v>1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52</v>
      </c>
      <c r="B18" s="145"/>
      <c r="C18" s="146"/>
      <c r="D18" s="111"/>
      <c r="E18" s="147" t="s">
        <v>53</v>
      </c>
      <c r="F18" s="143"/>
      <c r="G18" s="112" t="n">
        <f aca="false">($B18*$B$7+$C18*$C$7)/100</f>
        <v>0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0.938</v>
      </c>
      <c r="G19" s="156" t="n">
        <f aca="false">SUM(G16:G18)</f>
        <v>0.938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54</v>
      </c>
      <c r="B20" s="165" t="n">
        <f aca="false">SUM(B23:B82)</f>
        <v>1.14</v>
      </c>
      <c r="C20" s="166" t="n">
        <f aca="false">SUM(C23:C82)</f>
        <v>0.02</v>
      </c>
      <c r="D20" s="167"/>
      <c r="E20" s="168" t="s">
        <v>53</v>
      </c>
      <c r="F20" s="169" t="n">
        <f aca="false">($B20*$B$7+$C20*$C$7)/100</f>
        <v>1.028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55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56</v>
      </c>
      <c r="B21" s="179" t="n">
        <f aca="false">B20*B7/100</f>
        <v>1.026</v>
      </c>
      <c r="C21" s="179" t="n">
        <f aca="false">C20*C7/100</f>
        <v>0.002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1.028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57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58</v>
      </c>
      <c r="B22" s="190" t="s">
        <v>59</v>
      </c>
      <c r="C22" s="191" t="s">
        <v>59</v>
      </c>
      <c r="D22" s="140"/>
      <c r="E22" s="140"/>
      <c r="F22" s="192" t="s">
        <v>60</v>
      </c>
      <c r="G22" s="193" t="s">
        <v>61</v>
      </c>
      <c r="H22" s="140"/>
      <c r="I22" s="194" t="s">
        <v>62</v>
      </c>
      <c r="J22" s="194" t="s">
        <v>63</v>
      </c>
      <c r="K22" s="195" t="s">
        <v>64</v>
      </c>
      <c r="L22" s="195"/>
      <c r="M22" s="195"/>
      <c r="N22" s="195"/>
      <c r="O22" s="195"/>
      <c r="P22" s="196" t="s">
        <v>65</v>
      </c>
      <c r="Q22" s="197" t="s">
        <v>66</v>
      </c>
      <c r="R22" s="198" t="s">
        <v>67</v>
      </c>
      <c r="S22" s="199" t="s">
        <v>68</v>
      </c>
      <c r="T22" s="200" t="s">
        <v>69</v>
      </c>
      <c r="U22" s="201" t="s">
        <v>70</v>
      </c>
      <c r="V22" s="199" t="s">
        <v>71</v>
      </c>
      <c r="Y22" s="10" t="s">
        <v>72</v>
      </c>
      <c r="Z22" s="10" t="s">
        <v>73</v>
      </c>
      <c r="AA22" s="202" t="s">
        <v>74</v>
      </c>
      <c r="AB22" s="202" t="s">
        <v>75</v>
      </c>
      <c r="AC22" s="202" t="s">
        <v>76</v>
      </c>
    </row>
    <row r="23" customFormat="false" ht="15" hidden="false" customHeight="false" outlineLevel="0" collapsed="false">
      <c r="A23" s="203" t="s">
        <v>16</v>
      </c>
      <c r="B23" s="204" t="n">
        <v>0.4</v>
      </c>
      <c r="C23" s="204" t="n">
        <v>0</v>
      </c>
      <c r="D23" s="205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Lemanea sp.</v>
      </c>
      <c r="E23" s="205" t="e">
        <f aca="false">IF(D23="",0,VLOOKUP(D23,D$22:D22,1,0))</f>
        <v>#N/A</v>
      </c>
      <c r="F23" s="206" t="n">
        <f aca="false">($B23*$B$7+$C23*$C$7)/100</f>
        <v>0.36</v>
      </c>
      <c r="G23" s="207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08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09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15</v>
      </c>
      <c r="J23" s="209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2</v>
      </c>
      <c r="K23" s="210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Lemanea sp.</v>
      </c>
      <c r="L23" s="211"/>
      <c r="M23" s="211"/>
      <c r="N23" s="211"/>
      <c r="O23" s="212"/>
      <c r="P23" s="213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1159</v>
      </c>
      <c r="Q23" s="214" t="n">
        <f aca="false">IF(ISTEXT(H23),"",(B23*$B$7/100)+(C23*$C$7/100))</f>
        <v>0.36</v>
      </c>
      <c r="R23" s="215" t="n">
        <f aca="false">IF(OR(ISTEXT(H23),Q23=0),"",IF(Q23&lt;0.1,1,IF(Q23&lt;1,2,IF(Q23&lt;10,3,IF(Q23&lt;50,4,IF(Q23&gt;=50,5,""))))))</f>
        <v>2</v>
      </c>
      <c r="S23" s="215" t="n">
        <f aca="false">IF(ISERROR(R23*I23),0,R23*I23)</f>
        <v>30</v>
      </c>
      <c r="T23" s="215" t="n">
        <f aca="false">IF(ISERROR(R23*I23*J23),0,R23*I23*J23)</f>
        <v>60</v>
      </c>
      <c r="U23" s="215" t="n">
        <f aca="false">IF(ISERROR(R23*J23),0,R23*J23)</f>
        <v>4</v>
      </c>
      <c r="V23" s="216" t="str">
        <f aca="false">IF(AND(A23="",F23=0),"",IF(F23=0,"Il manque le(s) % de rec. !",""))</f>
        <v/>
      </c>
      <c r="W23" s="217"/>
      <c r="Y23" s="218" t="str">
        <f aca="false">IF(A23="new.cod","NEWCOD",IF(AND((Z23=""),ISTEXT(A23)),A23,IF(Z23="","",INDEX('[1]liste reference'!$A$8:$A$904,Z23))))</f>
        <v>LEASPX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34</v>
      </c>
      <c r="AA23" s="219"/>
      <c r="AB23" s="220"/>
      <c r="AC23" s="220"/>
      <c r="BB23" s="10" t="n">
        <f aca="false">IF(A23="","",1)</f>
        <v>1</v>
      </c>
    </row>
    <row r="24" customFormat="false" ht="15" hidden="false" customHeight="false" outlineLevel="0" collapsed="false">
      <c r="A24" s="203" t="s">
        <v>77</v>
      </c>
      <c r="B24" s="204" t="n">
        <v>0.5</v>
      </c>
      <c r="C24" s="204" t="n">
        <v>0</v>
      </c>
      <c r="D24" s="205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Phormidium sp.</v>
      </c>
      <c r="E24" s="221" t="e">
        <f aca="false">IF(D24="",0,VLOOKUP(D24,D$22:D23,1,0))</f>
        <v>#N/A</v>
      </c>
      <c r="F24" s="222" t="n">
        <f aca="false">($B24*$B$7+$C24*$C$7)/100</f>
        <v>0.45</v>
      </c>
      <c r="G24" s="207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08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09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13</v>
      </c>
      <c r="J24" s="209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2</v>
      </c>
      <c r="K24" s="210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Phormidium sp.</v>
      </c>
      <c r="L24" s="223"/>
      <c r="M24" s="223"/>
      <c r="N24" s="223"/>
      <c r="O24" s="212"/>
      <c r="P24" s="213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6414</v>
      </c>
      <c r="Q24" s="214" t="n">
        <f aca="false">IF(ISTEXT(H24),"",(B24*$B$7/100)+(C24*$C$7/100))</f>
        <v>0.45</v>
      </c>
      <c r="R24" s="215" t="n">
        <f aca="false">IF(OR(ISTEXT(H24),Q24=0),"",IF(Q24&lt;0.1,1,IF(Q24&lt;1,2,IF(Q24&lt;10,3,IF(Q24&lt;50,4,IF(Q24&gt;=50,5,""))))))</f>
        <v>2</v>
      </c>
      <c r="S24" s="215" t="n">
        <f aca="false">IF(ISERROR(R24*I24),0,R24*I24)</f>
        <v>26</v>
      </c>
      <c r="T24" s="215" t="n">
        <f aca="false">IF(ISERROR(R24*I24*J24),0,R24*I24*J24)</f>
        <v>52</v>
      </c>
      <c r="U24" s="224" t="n">
        <f aca="false">IF(ISERROR(R24*J24),0,R24*J24)</f>
        <v>4</v>
      </c>
      <c r="V24" s="216" t="str">
        <f aca="false">IF(AND(A24="",F24=0),"",IF(F24=0,"Il manque le(s) % de rec. !",""))</f>
        <v/>
      </c>
      <c r="W24" s="217"/>
      <c r="Y24" s="218" t="str">
        <f aca="false">IF(A24="new.cod","NEWCOD",IF(AND((Z24=""),ISTEXT(A24)),A24,IF(Z24="","",INDEX('[1]liste reference'!$A$8:$A$904,Z24))))</f>
        <v>PHOSPX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57</v>
      </c>
      <c r="AA24" s="219"/>
      <c r="AB24" s="220"/>
      <c r="AC24" s="220"/>
      <c r="BB24" s="10" t="n">
        <f aca="false">IF(A24="","",1)</f>
        <v>1</v>
      </c>
    </row>
    <row r="25" customFormat="false" ht="15" hidden="false" customHeight="false" outlineLevel="0" collapsed="false">
      <c r="A25" s="203" t="s">
        <v>78</v>
      </c>
      <c r="B25" s="204" t="n">
        <v>0.2</v>
      </c>
      <c r="C25" s="204" t="n">
        <v>0</v>
      </c>
      <c r="D25" s="205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Spirogyra sp.</v>
      </c>
      <c r="E25" s="221" t="e">
        <f aca="false">IF(D25="",0,VLOOKUP(D25,D$22:D24,1,0))</f>
        <v>#N/A</v>
      </c>
      <c r="F25" s="222" t="n">
        <f aca="false">($B25*$B$7+$C25*$C$7)/100</f>
        <v>0.18</v>
      </c>
      <c r="G25" s="207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08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2</v>
      </c>
      <c r="I25" s="209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10</v>
      </c>
      <c r="J25" s="209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1</v>
      </c>
      <c r="K25" s="210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Spirogyra sp.</v>
      </c>
      <c r="L25" s="223"/>
      <c r="M25" s="223"/>
      <c r="N25" s="223"/>
      <c r="O25" s="212"/>
      <c r="P25" s="213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1147</v>
      </c>
      <c r="Q25" s="214" t="n">
        <f aca="false">IF(ISTEXT(H25),"",(B25*$B$7/100)+(C25*$C$7/100))</f>
        <v>0.18</v>
      </c>
      <c r="R25" s="215" t="n">
        <f aca="false">IF(OR(ISTEXT(H25),Q25=0),"",IF(Q25&lt;0.1,1,IF(Q25&lt;1,2,IF(Q25&lt;10,3,IF(Q25&lt;50,4,IF(Q25&gt;=50,5,""))))))</f>
        <v>2</v>
      </c>
      <c r="S25" s="215" t="n">
        <f aca="false">IF(ISERROR(R25*I25),0,R25*I25)</f>
        <v>20</v>
      </c>
      <c r="T25" s="215" t="n">
        <f aca="false">IF(ISERROR(R25*I25*J25),0,R25*I25*J25)</f>
        <v>20</v>
      </c>
      <c r="U25" s="224" t="n">
        <f aca="false">IF(ISERROR(R25*J25),0,R25*J25)</f>
        <v>2</v>
      </c>
      <c r="V25" s="216" t="str">
        <f aca="false">IF(AND(A25="",F25=0),"",IF(F25=0,"Il manque le(s) % de rec. !",""))</f>
        <v/>
      </c>
      <c r="W25" s="217"/>
      <c r="Y25" s="218" t="str">
        <f aca="false">IF(A25="new.cod","NEWCOD",IF(AND((Z25=""),ISTEXT(A25)),A25,IF(Z25="","",INDEX('[1]liste reference'!$A$8:$A$904,Z25))))</f>
        <v>SPISPX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69</v>
      </c>
      <c r="AA25" s="219"/>
      <c r="AB25" s="220"/>
      <c r="AC25" s="220"/>
      <c r="BB25" s="10" t="n">
        <f aca="false">IF(A25="","",1)</f>
        <v>1</v>
      </c>
    </row>
    <row r="26" customFormat="false" ht="15" hidden="false" customHeight="false" outlineLevel="0" collapsed="false">
      <c r="A26" s="203" t="s">
        <v>79</v>
      </c>
      <c r="B26" s="204" t="n">
        <v>0.01</v>
      </c>
      <c r="C26" s="204" t="n">
        <v>0</v>
      </c>
      <c r="D26" s="205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Ulothrix sp.</v>
      </c>
      <c r="E26" s="221" t="e">
        <f aca="false">IF(D26="",0,VLOOKUP(D26,D$22:D25,1,0))</f>
        <v>#N/A</v>
      </c>
      <c r="F26" s="222" t="n">
        <f aca="false">($B26*$B$7+$C26*$C$7)/100</f>
        <v>0.009</v>
      </c>
      <c r="G26" s="207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ALG</v>
      </c>
      <c r="H26" s="208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2</v>
      </c>
      <c r="I26" s="209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10</v>
      </c>
      <c r="J26" s="209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1</v>
      </c>
      <c r="K26" s="210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Ulothrix sp.</v>
      </c>
      <c r="L26" s="223"/>
      <c r="M26" s="223"/>
      <c r="N26" s="223"/>
      <c r="O26" s="212"/>
      <c r="P26" s="213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1142</v>
      </c>
      <c r="Q26" s="214" t="n">
        <f aca="false">IF(ISTEXT(H26),"",(B26*$B$7/100)+(C26*$C$7/100))</f>
        <v>0.009</v>
      </c>
      <c r="R26" s="215" t="n">
        <f aca="false">IF(OR(ISTEXT(H26),Q26=0),"",IF(Q26&lt;0.1,1,IF(Q26&lt;1,2,IF(Q26&lt;10,3,IF(Q26&lt;50,4,IF(Q26&gt;=50,5,""))))))</f>
        <v>1</v>
      </c>
      <c r="S26" s="215" t="n">
        <f aca="false">IF(ISERROR(R26*I26),0,R26*I26)</f>
        <v>10</v>
      </c>
      <c r="T26" s="215" t="n">
        <f aca="false">IF(ISERROR(R26*I26*J26),0,R26*I26*J26)</f>
        <v>10</v>
      </c>
      <c r="U26" s="224" t="n">
        <f aca="false">IF(ISERROR(R26*J26),0,R26*J26)</f>
        <v>1</v>
      </c>
      <c r="V26" s="216" t="str">
        <f aca="false">IF(AND(A26="",F26=0),"",IF(F26=0,"Il manque le(s) % de rec. !",""))</f>
        <v/>
      </c>
      <c r="W26" s="217"/>
      <c r="Y26" s="218" t="str">
        <f aca="false">IF(A26="new.cod","NEWCOD",IF(AND((Z26=""),ISTEXT(A26)),A26,IF(Z26="","",INDEX('[1]liste reference'!$A$8:$A$904,Z26))))</f>
        <v>ULOSPX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81</v>
      </c>
      <c r="AA26" s="219"/>
      <c r="AB26" s="220"/>
      <c r="AC26" s="220"/>
      <c r="BB26" s="10" t="n">
        <f aca="false">IF(A26="","",1)</f>
        <v>1</v>
      </c>
    </row>
    <row r="27" customFormat="false" ht="15" hidden="false" customHeight="false" outlineLevel="0" collapsed="false">
      <c r="A27" s="225" t="s">
        <v>80</v>
      </c>
      <c r="B27" s="204" t="n">
        <v>0.01</v>
      </c>
      <c r="C27" s="204" t="n">
        <v>0</v>
      </c>
      <c r="D27" s="205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Brachythecium rivulare</v>
      </c>
      <c r="E27" s="221" t="e">
        <f aca="false">IF(D27="",0,VLOOKUP(D27,D$22:D26,1,0))</f>
        <v>#N/A</v>
      </c>
      <c r="F27" s="222" t="n">
        <f aca="false">($B27*$B$7+$C27*$C$7)/100</f>
        <v>0.009</v>
      </c>
      <c r="G27" s="207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BRm</v>
      </c>
      <c r="H27" s="208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5</v>
      </c>
      <c r="I27" s="209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15</v>
      </c>
      <c r="J27" s="209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2</v>
      </c>
      <c r="K27" s="210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Brachythecium rivulare</v>
      </c>
      <c r="L27" s="223"/>
      <c r="M27" s="223"/>
      <c r="N27" s="223"/>
      <c r="O27" s="212"/>
      <c r="P27" s="213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1260</v>
      </c>
      <c r="Q27" s="214" t="n">
        <f aca="false">IF(ISTEXT(H27),"",(B27*$B$7/100)+(C27*$C$7/100))</f>
        <v>0.009</v>
      </c>
      <c r="R27" s="215" t="n">
        <f aca="false">IF(OR(ISTEXT(H27),Q27=0),"",IF(Q27&lt;0.1,1,IF(Q27&lt;1,2,IF(Q27&lt;10,3,IF(Q27&lt;50,4,IF(Q27&gt;=50,5,""))))))</f>
        <v>1</v>
      </c>
      <c r="S27" s="215" t="n">
        <f aca="false">IF(ISERROR(R27*I27),0,R27*I27)</f>
        <v>15</v>
      </c>
      <c r="T27" s="215" t="n">
        <f aca="false">IF(ISERROR(R27*I27*J27),0,R27*I27*J27)</f>
        <v>30</v>
      </c>
      <c r="U27" s="224" t="n">
        <f aca="false">IF(ISERROR(R27*J27),0,R27*J27)</f>
        <v>2</v>
      </c>
      <c r="V27" s="216" t="str">
        <f aca="false">IF(AND(A27="",F27=0),"",IF(F27=0,"Il manque le(s) % de rec. !",""))</f>
        <v/>
      </c>
      <c r="W27" s="226"/>
      <c r="Y27" s="218" t="str">
        <f aca="false">IF(A27="new.cod","NEWCOD",IF(AND((Z27=""),ISTEXT(A27)),A27,IF(Z27="","",INDEX('[1]liste reference'!$A$8:$A$904,Z27))))</f>
        <v>BRARIV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155</v>
      </c>
      <c r="AA27" s="219"/>
      <c r="AB27" s="220"/>
      <c r="AC27" s="220"/>
      <c r="BB27" s="10" t="n">
        <f aca="false">IF(A27="","",1)</f>
        <v>1</v>
      </c>
    </row>
    <row r="28" customFormat="false" ht="15" hidden="false" customHeight="false" outlineLevel="0" collapsed="false">
      <c r="A28" s="225" t="s">
        <v>81</v>
      </c>
      <c r="B28" s="204" t="n">
        <v>0.01</v>
      </c>
      <c r="C28" s="204" t="n">
        <v>0</v>
      </c>
      <c r="D28" s="205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Fontinalis antipyretica</v>
      </c>
      <c r="E28" s="221" t="e">
        <f aca="false">IF(D28="",0,VLOOKUP(D28,D$22:D27,1,0))</f>
        <v>#N/A</v>
      </c>
      <c r="F28" s="222" t="n">
        <f aca="false">($B28*$B$7+$C28*$C$7)/100</f>
        <v>0.009</v>
      </c>
      <c r="G28" s="207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BRm</v>
      </c>
      <c r="H28" s="208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5</v>
      </c>
      <c r="I28" s="209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10</v>
      </c>
      <c r="J28" s="209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1</v>
      </c>
      <c r="K28" s="210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Fontinalis antipyretica</v>
      </c>
      <c r="L28" s="223"/>
      <c r="M28" s="223"/>
      <c r="N28" s="223"/>
      <c r="O28" s="212"/>
      <c r="P28" s="213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1310</v>
      </c>
      <c r="Q28" s="214" t="n">
        <f aca="false">IF(ISTEXT(H28),"",(B28*$B$7/100)+(C28*$C$7/100))</f>
        <v>0.009</v>
      </c>
      <c r="R28" s="215" t="n">
        <f aca="false">IF(OR(ISTEXT(H28),Q28=0),"",IF(Q28&lt;0.1,1,IF(Q28&lt;1,2,IF(Q28&lt;10,3,IF(Q28&lt;50,4,IF(Q28&gt;=50,5,""))))))</f>
        <v>1</v>
      </c>
      <c r="S28" s="215" t="n">
        <f aca="false">IF(ISERROR(R28*I28),0,R28*I28)</f>
        <v>10</v>
      </c>
      <c r="T28" s="215" t="n">
        <f aca="false">IF(ISERROR(R28*I28*J28),0,R28*I28*J28)</f>
        <v>10</v>
      </c>
      <c r="U28" s="224" t="n">
        <f aca="false">IF(ISERROR(R28*J28),0,R28*J28)</f>
        <v>1</v>
      </c>
      <c r="V28" s="216" t="str">
        <f aca="false">IF(AND(A28="",F28=0),"",IF(F28=0,"Il manque le(s) % de rec. !",""))</f>
        <v/>
      </c>
      <c r="W28" s="217"/>
      <c r="Y28" s="218" t="str">
        <f aca="false">IF(A28="new.cod","NEWCOD",IF(AND((Z28=""),ISTEXT(A28)),A28,IF(Z28="","",INDEX('[1]liste reference'!$A$8:$A$904,Z28))))</f>
        <v>FONANT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210</v>
      </c>
      <c r="AA28" s="219"/>
      <c r="AB28" s="220"/>
      <c r="AC28" s="220"/>
      <c r="BB28" s="10" t="n">
        <f aca="false">IF(A28="","",1)</f>
        <v>1</v>
      </c>
    </row>
    <row r="29" customFormat="false" ht="15" hidden="false" customHeight="false" outlineLevel="0" collapsed="false">
      <c r="A29" s="225" t="s">
        <v>82</v>
      </c>
      <c r="B29" s="204" t="n">
        <v>0</v>
      </c>
      <c r="C29" s="204" t="n">
        <v>0.01</v>
      </c>
      <c r="D29" s="205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Fontinalis squamosa</v>
      </c>
      <c r="E29" s="221" t="e">
        <f aca="false">IF(D29="",0,VLOOKUP(D29,D$22:D28,1,0))</f>
        <v>#N/A</v>
      </c>
      <c r="F29" s="222" t="n">
        <f aca="false">($B29*$B$7+$C29*$C$7)/100</f>
        <v>0.001</v>
      </c>
      <c r="G29" s="207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BRm</v>
      </c>
      <c r="H29" s="208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5</v>
      </c>
      <c r="I29" s="209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16</v>
      </c>
      <c r="J29" s="209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3</v>
      </c>
      <c r="K29" s="210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Fontinalis squamosa</v>
      </c>
      <c r="L29" s="223"/>
      <c r="M29" s="223"/>
      <c r="N29" s="223"/>
      <c r="O29" s="212"/>
      <c r="P29" s="213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1312</v>
      </c>
      <c r="Q29" s="214" t="n">
        <f aca="false">IF(ISTEXT(H29),"",(B29*$B$7/100)+(C29*$C$7/100))</f>
        <v>0.001</v>
      </c>
      <c r="R29" s="215" t="n">
        <f aca="false">IF(OR(ISTEXT(H29),Q29=0),"",IF(Q29&lt;0.1,1,IF(Q29&lt;1,2,IF(Q29&lt;10,3,IF(Q29&lt;50,4,IF(Q29&gt;=50,5,""))))))</f>
        <v>1</v>
      </c>
      <c r="S29" s="215" t="n">
        <f aca="false">IF(ISERROR(R29*I29),0,R29*I29)</f>
        <v>16</v>
      </c>
      <c r="T29" s="215" t="n">
        <f aca="false">IF(ISERROR(R29*I29*J29),0,R29*I29*J29)</f>
        <v>48</v>
      </c>
      <c r="U29" s="224" t="n">
        <f aca="false">IF(ISERROR(R29*J29),0,R29*J29)</f>
        <v>3</v>
      </c>
      <c r="V29" s="216" t="str">
        <f aca="false">IF(AND(A29="",F29=0),"",IF(F29=0,"Il manque le(s) % de rec. !",""))</f>
        <v/>
      </c>
      <c r="W29" s="217"/>
      <c r="X29" s="217"/>
      <c r="Y29" s="218" t="str">
        <f aca="false">IF(A29="new.cod","NEWCOD",IF(AND((Z29=""),ISTEXT(A29)),A29,IF(Z29="","",INDEX('[1]liste reference'!$A$8:$A$904,Z29))))</f>
        <v>FONSQU</v>
      </c>
      <c r="Z29" s="10" t="n">
        <f aca="false">IF(ISERROR(MATCH(A29,'[1]liste reference'!$A$8:$A$904,0)),IF(ISERROR(MATCH(A29,'[1]liste reference'!$B$8:$B$904,0)),"",(MATCH(A29,'[1]liste reference'!$B$8:$B$904,0))),(MATCH(A29,'[1]liste reference'!$A$8:$A$904,0)))</f>
        <v>214</v>
      </c>
      <c r="AA29" s="219"/>
      <c r="AB29" s="220"/>
      <c r="AC29" s="220"/>
      <c r="BB29" s="10" t="n">
        <f aca="false">IF(A29="","",1)</f>
        <v>1</v>
      </c>
    </row>
    <row r="30" customFormat="false" ht="15" hidden="false" customHeight="false" outlineLevel="0" collapsed="false">
      <c r="A30" s="225" t="s">
        <v>83</v>
      </c>
      <c r="B30" s="204" t="n">
        <v>0.01</v>
      </c>
      <c r="C30" s="204" t="n">
        <v>0.01</v>
      </c>
      <c r="D30" s="205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Rhynchostegium riparioides</v>
      </c>
      <c r="E30" s="221" t="e">
        <f aca="false">IF(D30="",0,VLOOKUP(D30,D$22:D29,1,0))</f>
        <v>#N/A</v>
      </c>
      <c r="F30" s="222" t="n">
        <f aca="false">($B30*$B$7+$C30*$C$7)/100</f>
        <v>0.01</v>
      </c>
      <c r="G30" s="207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BRm</v>
      </c>
      <c r="H30" s="208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5</v>
      </c>
      <c r="I30" s="209" t="n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>12</v>
      </c>
      <c r="J30" s="209" t="n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>1</v>
      </c>
      <c r="K30" s="210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Rhynchostegium riparioides</v>
      </c>
      <c r="L30" s="223"/>
      <c r="M30" s="223"/>
      <c r="N30" s="223"/>
      <c r="O30" s="212"/>
      <c r="P30" s="213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1268</v>
      </c>
      <c r="Q30" s="214" t="n">
        <f aca="false">IF(ISTEXT(H30),"",(B30*$B$7/100)+(C30*$C$7/100))</f>
        <v>0.01</v>
      </c>
      <c r="R30" s="215" t="n">
        <f aca="false">IF(OR(ISTEXT(H30),Q30=0),"",IF(Q30&lt;0.1,1,IF(Q30&lt;1,2,IF(Q30&lt;10,3,IF(Q30&lt;50,4,IF(Q30&gt;=50,5,""))))))</f>
        <v>1</v>
      </c>
      <c r="S30" s="215" t="n">
        <f aca="false">IF(ISERROR(R30*I30),0,R30*I30)</f>
        <v>12</v>
      </c>
      <c r="T30" s="215" t="n">
        <f aca="false">IF(ISERROR(R30*I30*J30),0,R30*I30*J30)</f>
        <v>12</v>
      </c>
      <c r="U30" s="224" t="n">
        <f aca="false">IF(ISERROR(R30*J30),0,R30*J30)</f>
        <v>1</v>
      </c>
      <c r="V30" s="216" t="str">
        <f aca="false">IF(AND(A30="",F30=0),"",IF(F30=0,"Il manque le(s) % de rec. !",""))</f>
        <v/>
      </c>
      <c r="W30" s="217"/>
      <c r="Y30" s="218" t="str">
        <f aca="false">IF(A30="new.cod","NEWCOD",IF(AND((Z30=""),ISTEXT(A30)),A30,IF(Z30="","",INDEX('[1]liste reference'!$A$8:$A$904,Z30))))</f>
        <v>RHYRIP</v>
      </c>
      <c r="Z30" s="10" t="n">
        <f aca="false">IF(ISERROR(MATCH(A30,'[1]liste reference'!$A$8:$A$904,0)),IF(ISERROR(MATCH(A30,'[1]liste reference'!$B$8:$B$904,0)),"",(MATCH(A30,'[1]liste reference'!$B$8:$B$904,0))),(MATCH(A30,'[1]liste reference'!$A$8:$A$904,0)))</f>
        <v>252</v>
      </c>
      <c r="AA30" s="219"/>
      <c r="AB30" s="220"/>
      <c r="AC30" s="220"/>
      <c r="BB30" s="10" t="n">
        <f aca="false">IF(A30="","",1)</f>
        <v>1</v>
      </c>
    </row>
    <row r="31" customFormat="false" ht="12.75" hidden="false" customHeight="false" outlineLevel="0" collapsed="false">
      <c r="A31" s="227"/>
      <c r="B31" s="228"/>
      <c r="C31" s="229"/>
      <c r="D31" s="205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/>
      </c>
      <c r="E31" s="221" t="n">
        <f aca="false">IF(D31="",0,VLOOKUP(D31,D$22:D30,1,0))</f>
        <v>0</v>
      </c>
      <c r="F31" s="222" t="n">
        <f aca="false">($B31*$B$7+$C31*$C$7)/100</f>
        <v>0</v>
      </c>
      <c r="G31" s="207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/>
      </c>
      <c r="H31" s="208" t="str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x</v>
      </c>
      <c r="I31" s="209" t="str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/>
      </c>
      <c r="J31" s="209" t="str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/>
      </c>
      <c r="K31" s="210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/>
      </c>
      <c r="L31" s="223"/>
      <c r="M31" s="223"/>
      <c r="N31" s="223"/>
      <c r="O31" s="212"/>
      <c r="P31" s="213" t="str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4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8" t="str">
        <f aca="false">IF(A31="new.cod","NEWCOD",IF(AND((Z31=""),ISTEXT(A31)),A31,IF(Z31="","",INDEX('[1]liste reference'!$A$8:$A$904,Z31))))</f>
        <v/>
      </c>
      <c r="Z31" s="10" t="str">
        <f aca="false">IF(ISERROR(MATCH(A31,'[1]liste reference'!$A$8:$A$904,0)),IF(ISERROR(MATCH(A31,'[1]liste reference'!$B$8:$B$904,0)),"",(MATCH(A31,'[1]liste reference'!$B$8:$B$904,0))),(MATCH(A31,'[1]liste reference'!$A$8:$A$904,0)))</f>
        <v/>
      </c>
      <c r="AA31" s="219"/>
      <c r="AB31" s="220"/>
      <c r="AC31" s="220"/>
      <c r="BB31" s="10" t="str">
        <f aca="false">IF(A31="","",1)</f>
        <v/>
      </c>
    </row>
    <row r="32" customFormat="false" ht="12.75" hidden="false" customHeight="false" outlineLevel="0" collapsed="false">
      <c r="A32" s="227"/>
      <c r="B32" s="228"/>
      <c r="C32" s="229"/>
      <c r="D32" s="205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/>
      </c>
      <c r="E32" s="221" t="n">
        <f aca="false">IF(D32="",0,VLOOKUP(D32,D$22:D31,1,0))</f>
        <v>0</v>
      </c>
      <c r="F32" s="222" t="n">
        <f aca="false">($B32*$B$7+$C32*$C$7)/100</f>
        <v>0</v>
      </c>
      <c r="G32" s="207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/>
      </c>
      <c r="H32" s="208" t="str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x</v>
      </c>
      <c r="I32" s="209" t="str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/>
      </c>
      <c r="J32" s="209" t="str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/>
      </c>
      <c r="K32" s="210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/>
      </c>
      <c r="L32" s="223"/>
      <c r="M32" s="223"/>
      <c r="N32" s="223"/>
      <c r="O32" s="212"/>
      <c r="P32" s="213" t="str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4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8" t="str">
        <f aca="false">IF(A32="new.cod","NEWCOD",IF(AND((Z32=""),ISTEXT(A32)),A32,IF(Z32="","",INDEX('[1]liste reference'!$A$8:$A$904,Z32))))</f>
        <v/>
      </c>
      <c r="Z32" s="10" t="str">
        <f aca="false">IF(ISERROR(MATCH(A32,'[1]liste reference'!$A$8:$A$904,0)),IF(ISERROR(MATCH(A32,'[1]liste reference'!$B$8:$B$904,0)),"",(MATCH(A32,'[1]liste reference'!$B$8:$B$904,0))),(MATCH(A32,'[1]liste reference'!$A$8:$A$904,0)))</f>
        <v/>
      </c>
      <c r="AA32" s="219"/>
      <c r="AB32" s="220"/>
      <c r="AC32" s="220"/>
      <c r="BB32" s="10" t="str">
        <f aca="false">IF(A32="","",1)</f>
        <v/>
      </c>
    </row>
    <row r="33" customFormat="false" ht="12.75" hidden="false" customHeight="false" outlineLevel="0" collapsed="false">
      <c r="A33" s="227"/>
      <c r="B33" s="228"/>
      <c r="C33" s="229"/>
      <c r="D33" s="205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/>
      </c>
      <c r="E33" s="221" t="n">
        <f aca="false">IF(D33="",0,VLOOKUP(D33,D$22:D32,1,0))</f>
        <v>0</v>
      </c>
      <c r="F33" s="222" t="n">
        <f aca="false">($B33*$B$7+$C33*$C$7)/100</f>
        <v>0</v>
      </c>
      <c r="G33" s="207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/>
      </c>
      <c r="H33" s="208" t="str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x</v>
      </c>
      <c r="I33" s="209" t="str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/>
      </c>
      <c r="J33" s="209" t="str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/>
      </c>
      <c r="K33" s="210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/>
      </c>
      <c r="L33" s="223"/>
      <c r="M33" s="223"/>
      <c r="N33" s="223"/>
      <c r="O33" s="212"/>
      <c r="P33" s="213" t="str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4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8" t="str">
        <f aca="false">IF(A33="new.cod","NEWCOD",IF(AND((Z33=""),ISTEXT(A33)),A33,IF(Z33="","",INDEX('[1]liste reference'!$A$8:$A$904,Z33))))</f>
        <v/>
      </c>
      <c r="Z33" s="10" t="str">
        <f aca="false">IF(ISERROR(MATCH(A33,'[1]liste reference'!$A$8:$A$904,0)),IF(ISERROR(MATCH(A33,'[1]liste reference'!$B$8:$B$904,0)),"",(MATCH(A33,'[1]liste reference'!$B$8:$B$904,0))),(MATCH(A33,'[1]liste reference'!$A$8:$A$904,0)))</f>
        <v/>
      </c>
      <c r="AA33" s="219"/>
      <c r="AB33" s="220"/>
      <c r="AC33" s="220"/>
      <c r="BB33" s="10" t="str">
        <f aca="false">IF(A33="","",1)</f>
        <v/>
      </c>
    </row>
    <row r="34" customFormat="false" ht="12.75" hidden="false" customHeight="false" outlineLevel="0" collapsed="false">
      <c r="A34" s="227"/>
      <c r="B34" s="228"/>
      <c r="C34" s="229"/>
      <c r="D34" s="205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/>
      </c>
      <c r="E34" s="221" t="n">
        <f aca="false">IF(D34="",0,VLOOKUP(D34,D$22:D33,1,0))</f>
        <v>0</v>
      </c>
      <c r="F34" s="230" t="n">
        <f aca="false">($B34*$B$7+$C34*$C$7)/100</f>
        <v>0</v>
      </c>
      <c r="G34" s="207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/>
      </c>
      <c r="H34" s="208" t="str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x</v>
      </c>
      <c r="I34" s="209" t="str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/>
      </c>
      <c r="J34" s="209" t="str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/>
      </c>
      <c r="K34" s="210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/>
      </c>
      <c r="L34" s="223"/>
      <c r="M34" s="223"/>
      <c r="N34" s="223"/>
      <c r="O34" s="212"/>
      <c r="P34" s="213" t="str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4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8" t="str">
        <f aca="false">IF(A34="new.cod","NEWCOD",IF(AND((Z34=""),ISTEXT(A34)),A34,IF(Z34="","",INDEX('[1]liste reference'!$A$8:$A$904,Z34))))</f>
        <v/>
      </c>
      <c r="Z34" s="10" t="str">
        <f aca="false">IF(ISERROR(MATCH(A34,'[1]liste reference'!$A$8:$A$904,0)),IF(ISERROR(MATCH(A34,'[1]liste reference'!$B$8:$B$904,0)),"",(MATCH(A34,'[1]liste reference'!$B$8:$B$904,0))),(MATCH(A34,'[1]liste reference'!$A$8:$A$904,0)))</f>
        <v/>
      </c>
      <c r="AA34" s="219"/>
      <c r="AB34" s="220"/>
      <c r="AC34" s="220"/>
      <c r="BB34" s="10" t="str">
        <f aca="false">IF(A34="","",1)</f>
        <v/>
      </c>
    </row>
    <row r="35" customFormat="false" ht="12.75" hidden="false" customHeight="false" outlineLevel="0" collapsed="false">
      <c r="A35" s="227"/>
      <c r="B35" s="228"/>
      <c r="C35" s="229"/>
      <c r="D35" s="205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/>
      </c>
      <c r="E35" s="221" t="n">
        <f aca="false">IF(D35="",0,VLOOKUP(D35,D$22:D34,1,0))</f>
        <v>0</v>
      </c>
      <c r="F35" s="230" t="n">
        <f aca="false">($B35*$B$7+$C35*$C$7)/100</f>
        <v>0</v>
      </c>
      <c r="G35" s="207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/>
      </c>
      <c r="H35" s="208" t="str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x</v>
      </c>
      <c r="I35" s="209" t="str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/>
      </c>
      <c r="J35" s="209" t="str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/>
      </c>
      <c r="K35" s="210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/>
      </c>
      <c r="L35" s="223"/>
      <c r="M35" s="223"/>
      <c r="N35" s="223"/>
      <c r="O35" s="212"/>
      <c r="P35" s="213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4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8" t="str">
        <f aca="false">IF(A35="new.cod","NEWCOD",IF(AND((Z35=""),ISTEXT(A35)),A35,IF(Z35="","",INDEX('[1]liste reference'!$A$8:$A$904,Z35))))</f>
        <v/>
      </c>
      <c r="Z35" s="10" t="str">
        <f aca="false">IF(ISERROR(MATCH(A35,'[1]liste reference'!$A$8:$A$904,0)),IF(ISERROR(MATCH(A35,'[1]liste reference'!$B$8:$B$904,0)),"",(MATCH(A35,'[1]liste reference'!$B$8:$B$904,0))),(MATCH(A35,'[1]liste reference'!$A$8:$A$904,0)))</f>
        <v/>
      </c>
      <c r="AA35" s="219"/>
      <c r="AB35" s="220"/>
      <c r="AC35" s="220"/>
      <c r="BB35" s="10" t="str">
        <f aca="false">IF(A35="","",1)</f>
        <v/>
      </c>
    </row>
    <row r="36" customFormat="false" ht="12.75" hidden="false" customHeight="false" outlineLevel="0" collapsed="false">
      <c r="A36" s="227"/>
      <c r="B36" s="228"/>
      <c r="C36" s="229"/>
      <c r="D36" s="205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/>
      </c>
      <c r="E36" s="221" t="n">
        <f aca="false">IF(D36="",0,VLOOKUP(D36,D$22:D35,1,0))</f>
        <v>0</v>
      </c>
      <c r="F36" s="230" t="n">
        <f aca="false">($B36*$B$7+$C36*$C$7)/100</f>
        <v>0</v>
      </c>
      <c r="G36" s="207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/>
      </c>
      <c r="H36" s="208" t="str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x</v>
      </c>
      <c r="I36" s="209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09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0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/>
      </c>
      <c r="L36" s="223"/>
      <c r="M36" s="223"/>
      <c r="N36" s="223"/>
      <c r="O36" s="212"/>
      <c r="P36" s="213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4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8" t="str">
        <f aca="false">IF(A36="new.cod","NEWCOD",IF(AND((Z36=""),ISTEXT(A36)),A36,IF(Z36="","",INDEX('[1]liste reference'!$A$8:$A$904,Z36))))</f>
        <v/>
      </c>
      <c r="Z36" s="10" t="str">
        <f aca="false">IF(ISERROR(MATCH(A36,'[1]liste reference'!$A$8:$A$904,0)),IF(ISERROR(MATCH(A36,'[1]liste reference'!$B$8:$B$904,0)),"",(MATCH(A36,'[1]liste reference'!$B$8:$B$904,0))),(MATCH(A36,'[1]liste reference'!$A$8:$A$904,0)))</f>
        <v/>
      </c>
      <c r="AA36" s="219"/>
      <c r="AB36" s="220"/>
      <c r="AC36" s="220"/>
      <c r="BB36" s="10" t="str">
        <f aca="false">IF(A36="","",1)</f>
        <v/>
      </c>
    </row>
    <row r="37" customFormat="false" ht="12.75" hidden="false" customHeight="false" outlineLevel="0" collapsed="false">
      <c r="A37" s="227"/>
      <c r="B37" s="228"/>
      <c r="C37" s="229"/>
      <c r="D37" s="205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1" t="n">
        <f aca="false">IF(D37="",0,VLOOKUP(D37,D$22:D36,1,0))</f>
        <v>0</v>
      </c>
      <c r="F37" s="230" t="n">
        <f aca="false">($B37*$B$7+$C37*$C$7)/100</f>
        <v>0</v>
      </c>
      <c r="G37" s="207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08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09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09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0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3"/>
      <c r="M37" s="223"/>
      <c r="N37" s="223"/>
      <c r="O37" s="212"/>
      <c r="P37" s="213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4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8" t="str">
        <f aca="false">IF(A37="new.cod","NEWCOD",IF(AND((Z37=""),ISTEXT(A37)),A37,IF(Z37="","",INDEX('[1]liste reference'!$A$8:$A$904,Z37))))</f>
        <v/>
      </c>
      <c r="Z37" s="10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19"/>
      <c r="AB37" s="220"/>
      <c r="AC37" s="220"/>
      <c r="BB37" s="10" t="str">
        <f aca="false">IF(A37="","",1)</f>
        <v/>
      </c>
    </row>
    <row r="38" customFormat="false" ht="12.75" hidden="false" customHeight="false" outlineLevel="0" collapsed="false">
      <c r="A38" s="227"/>
      <c r="B38" s="228"/>
      <c r="C38" s="229"/>
      <c r="D38" s="205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1" t="n">
        <f aca="false">IF(D38="",0,VLOOKUP(D38,D$22:D37,1,0))</f>
        <v>0</v>
      </c>
      <c r="F38" s="230" t="n">
        <f aca="false">($B38*$B$7+$C38*$C$7)/100</f>
        <v>0</v>
      </c>
      <c r="G38" s="207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08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09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09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0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3"/>
      <c r="M38" s="223"/>
      <c r="N38" s="223"/>
      <c r="O38" s="212"/>
      <c r="P38" s="213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4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8" t="str">
        <f aca="false">IF(A38="new.cod","NEWCOD",IF(AND((Z38=""),ISTEXT(A38)),A38,IF(Z38="","",INDEX('[1]liste reference'!$A$8:$A$904,Z38))))</f>
        <v/>
      </c>
      <c r="Z38" s="10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19"/>
      <c r="AB38" s="220"/>
      <c r="AC38" s="220"/>
      <c r="BB38" s="10" t="str">
        <f aca="false">IF(A38="","",1)</f>
        <v/>
      </c>
    </row>
    <row r="39" customFormat="false" ht="12.75" hidden="false" customHeight="false" outlineLevel="0" collapsed="false">
      <c r="A39" s="227"/>
      <c r="B39" s="228"/>
      <c r="C39" s="229"/>
      <c r="D39" s="205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1" t="n">
        <f aca="false">IF(D39="",0,VLOOKUP(D39,D$22:D38,1,0))</f>
        <v>0</v>
      </c>
      <c r="F39" s="230" t="n">
        <f aca="false">($B39*$B$7+$C39*$C$7)/100</f>
        <v>0</v>
      </c>
      <c r="G39" s="207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08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09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09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0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3"/>
      <c r="M39" s="223"/>
      <c r="N39" s="223"/>
      <c r="O39" s="212"/>
      <c r="P39" s="213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4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8" t="str">
        <f aca="false">IF(A39="new.cod","NEWCOD",IF(AND((Z39=""),ISTEXT(A39)),A39,IF(Z39="","",INDEX('[1]liste reference'!$A$8:$A$904,Z39))))</f>
        <v/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19"/>
      <c r="AB39" s="220"/>
      <c r="AC39" s="220"/>
      <c r="BB39" s="10" t="str">
        <f aca="false">IF(A39="","",1)</f>
        <v/>
      </c>
    </row>
    <row r="40" customFormat="false" ht="12.75" hidden="false" customHeight="false" outlineLevel="0" collapsed="false">
      <c r="A40" s="227"/>
      <c r="B40" s="228"/>
      <c r="C40" s="229"/>
      <c r="D40" s="205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1" t="n">
        <f aca="false">IF(D40="",0,VLOOKUP(D40,D$22:D39,1,0))</f>
        <v>0</v>
      </c>
      <c r="F40" s="230" t="n">
        <f aca="false">($B40*$B$7+$C40*$C$7)/100</f>
        <v>0</v>
      </c>
      <c r="G40" s="207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08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09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09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0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3"/>
      <c r="M40" s="223"/>
      <c r="N40" s="223"/>
      <c r="O40" s="212"/>
      <c r="P40" s="213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4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8" t="str">
        <f aca="false">IF(A40="new.cod","NEWCOD",IF(AND((Z40=""),ISTEXT(A40)),A40,IF(Z40="","",INDEX('[1]liste reference'!$A$8:$A$904,Z40))))</f>
        <v/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19"/>
      <c r="AB40" s="220"/>
      <c r="AC40" s="220"/>
      <c r="BB40" s="10" t="str">
        <f aca="false">IF(A40="","",1)</f>
        <v/>
      </c>
    </row>
    <row r="41" customFormat="false" ht="12.75" hidden="false" customHeight="false" outlineLevel="0" collapsed="false">
      <c r="A41" s="227"/>
      <c r="B41" s="228"/>
      <c r="C41" s="229"/>
      <c r="D41" s="205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1" t="n">
        <f aca="false">IF(D41="",0,VLOOKUP(D41,D$22:D40,1,0))</f>
        <v>0</v>
      </c>
      <c r="F41" s="230" t="n">
        <f aca="false">($B41*$B$7+$C41*$C$7)/100</f>
        <v>0</v>
      </c>
      <c r="G41" s="207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08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09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09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0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3"/>
      <c r="M41" s="223"/>
      <c r="N41" s="223"/>
      <c r="O41" s="212"/>
      <c r="P41" s="213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4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8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19"/>
      <c r="AB41" s="220"/>
      <c r="AC41" s="220"/>
      <c r="BB41" s="10" t="str">
        <f aca="false">IF(A41="","",1)</f>
        <v/>
      </c>
    </row>
    <row r="42" customFormat="false" ht="12.75" hidden="false" customHeight="false" outlineLevel="0" collapsed="false">
      <c r="A42" s="227"/>
      <c r="B42" s="228"/>
      <c r="C42" s="229"/>
      <c r="D42" s="205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1" t="n">
        <f aca="false">IF(D42="",0,VLOOKUP(D42,D$22:D41,1,0))</f>
        <v>0</v>
      </c>
      <c r="F42" s="230" t="n">
        <f aca="false">($B42*$B$7+$C42*$C$7)/100</f>
        <v>0</v>
      </c>
      <c r="G42" s="207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08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09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09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0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3"/>
      <c r="M42" s="223"/>
      <c r="N42" s="223"/>
      <c r="O42" s="212"/>
      <c r="P42" s="213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4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8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19"/>
      <c r="AB42" s="220"/>
      <c r="AC42" s="220"/>
      <c r="BB42" s="10" t="str">
        <f aca="false">IF(A42="","",1)</f>
        <v/>
      </c>
    </row>
    <row r="43" customFormat="false" ht="12.75" hidden="false" customHeight="false" outlineLevel="0" collapsed="false">
      <c r="A43" s="227"/>
      <c r="B43" s="228"/>
      <c r="C43" s="229"/>
      <c r="D43" s="205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1" t="n">
        <f aca="false">IF(D43="",0,VLOOKUP(D43,D$22:D42,1,0))</f>
        <v>0</v>
      </c>
      <c r="F43" s="230" t="n">
        <f aca="false">($B43*$B$7+$C43*$C$7)/100</f>
        <v>0</v>
      </c>
      <c r="G43" s="207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08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09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09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0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3"/>
      <c r="M43" s="223"/>
      <c r="N43" s="223"/>
      <c r="O43" s="212"/>
      <c r="P43" s="213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4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8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19"/>
      <c r="AB43" s="220"/>
      <c r="AC43" s="220"/>
      <c r="BB43" s="10" t="str">
        <f aca="false">IF(A43="","",1)</f>
        <v/>
      </c>
    </row>
    <row r="44" customFormat="false" ht="12.75" hidden="false" customHeight="false" outlineLevel="0" collapsed="false">
      <c r="A44" s="227"/>
      <c r="B44" s="228"/>
      <c r="C44" s="229"/>
      <c r="D44" s="205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1" t="n">
        <f aca="false">IF(D44="",0,VLOOKUP(D44,D$22:D43,1,0))</f>
        <v>0</v>
      </c>
      <c r="F44" s="230" t="n">
        <f aca="false">($B44*$B$7+$C44*$C$7)/100</f>
        <v>0</v>
      </c>
      <c r="G44" s="207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08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09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09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0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3"/>
      <c r="M44" s="223"/>
      <c r="N44" s="223"/>
      <c r="O44" s="212"/>
      <c r="P44" s="213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4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8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19"/>
      <c r="AB44" s="220"/>
      <c r="AC44" s="220"/>
      <c r="BB44" s="10" t="str">
        <f aca="false">IF(A44="","",1)</f>
        <v/>
      </c>
    </row>
    <row r="45" customFormat="false" ht="12.75" hidden="false" customHeight="false" outlineLevel="0" collapsed="false">
      <c r="A45" s="227"/>
      <c r="B45" s="228"/>
      <c r="C45" s="229"/>
      <c r="D45" s="205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1" t="n">
        <f aca="false">IF(D45="",0,VLOOKUP(D45,D$22:D44,1,0))</f>
        <v>0</v>
      </c>
      <c r="F45" s="230" t="n">
        <f aca="false">($B45*$B$7+$C45*$C$7)/100</f>
        <v>0</v>
      </c>
      <c r="G45" s="207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08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09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09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0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3"/>
      <c r="M45" s="223"/>
      <c r="N45" s="223"/>
      <c r="O45" s="212"/>
      <c r="P45" s="213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4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8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19"/>
      <c r="AB45" s="220"/>
      <c r="AC45" s="220"/>
      <c r="BB45" s="10" t="str">
        <f aca="false">IF(A45="","",1)</f>
        <v/>
      </c>
    </row>
    <row r="46" customFormat="false" ht="12.75" hidden="false" customHeight="false" outlineLevel="0" collapsed="false">
      <c r="A46" s="227"/>
      <c r="B46" s="228"/>
      <c r="C46" s="229"/>
      <c r="D46" s="205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1" t="n">
        <f aca="false">IF(D46="",0,VLOOKUP(D46,D$22:D39,1,0))</f>
        <v>0</v>
      </c>
      <c r="F46" s="230" t="n">
        <f aca="false">($B46*$B$7+$C46*$C$7)/100</f>
        <v>0</v>
      </c>
      <c r="G46" s="207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08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09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09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0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3"/>
      <c r="M46" s="223"/>
      <c r="N46" s="223"/>
      <c r="O46" s="212"/>
      <c r="P46" s="213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4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8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19"/>
      <c r="AB46" s="220"/>
      <c r="AC46" s="220"/>
      <c r="BB46" s="10" t="str">
        <f aca="false">IF(A46="","",1)</f>
        <v/>
      </c>
    </row>
    <row r="47" customFormat="false" ht="12.75" hidden="false" customHeight="false" outlineLevel="0" collapsed="false">
      <c r="A47" s="227"/>
      <c r="B47" s="228"/>
      <c r="C47" s="229"/>
      <c r="D47" s="205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1" t="n">
        <f aca="false">IF(D47="",0,VLOOKUP(D47,D$22:D39,1,0))</f>
        <v>0</v>
      </c>
      <c r="F47" s="230" t="n">
        <f aca="false">($B47*$B$7+$C47*$C$7)/100</f>
        <v>0</v>
      </c>
      <c r="G47" s="207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08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09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09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0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3"/>
      <c r="M47" s="223"/>
      <c r="N47" s="223"/>
      <c r="O47" s="212"/>
      <c r="P47" s="213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4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8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19"/>
      <c r="AB47" s="220"/>
      <c r="AC47" s="220"/>
      <c r="BB47" s="10" t="str">
        <f aca="false">IF(A47="","",1)</f>
        <v/>
      </c>
    </row>
    <row r="48" customFormat="false" ht="12.75" hidden="false" customHeight="false" outlineLevel="0" collapsed="false">
      <c r="A48" s="227"/>
      <c r="B48" s="228"/>
      <c r="C48" s="229"/>
      <c r="D48" s="205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1" t="n">
        <f aca="false">IF(D48="",0,VLOOKUP(D48,D$22:D40,1,0))</f>
        <v>0</v>
      </c>
      <c r="F48" s="230" t="n">
        <f aca="false">($B48*$B$7+$C48*$C$7)/100</f>
        <v>0</v>
      </c>
      <c r="G48" s="207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08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09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09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0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3"/>
      <c r="M48" s="223"/>
      <c r="N48" s="223"/>
      <c r="O48" s="212"/>
      <c r="P48" s="213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4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8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19"/>
      <c r="AB48" s="220"/>
      <c r="AC48" s="220"/>
      <c r="BB48" s="10" t="str">
        <f aca="false">IF(A48="","",1)</f>
        <v/>
      </c>
    </row>
    <row r="49" customFormat="false" ht="12.75" hidden="false" customHeight="false" outlineLevel="0" collapsed="false">
      <c r="A49" s="227"/>
      <c r="B49" s="228"/>
      <c r="C49" s="229"/>
      <c r="D49" s="205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1" t="n">
        <f aca="false">IF(D49="",0,VLOOKUP(D49,D$22:D48,1,0))</f>
        <v>0</v>
      </c>
      <c r="F49" s="230" t="n">
        <f aca="false">($B49*$B$7+$C49*$C$7)/100</f>
        <v>0</v>
      </c>
      <c r="G49" s="207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08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09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09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0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3"/>
      <c r="M49" s="223"/>
      <c r="N49" s="223"/>
      <c r="O49" s="212"/>
      <c r="P49" s="213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4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8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19"/>
      <c r="AB49" s="220"/>
      <c r="AC49" s="220"/>
      <c r="BB49" s="10" t="str">
        <f aca="false">IF(A49="","",1)</f>
        <v/>
      </c>
    </row>
    <row r="50" customFormat="false" ht="12.75" hidden="false" customHeight="false" outlineLevel="0" collapsed="false">
      <c r="A50" s="227"/>
      <c r="B50" s="228"/>
      <c r="C50" s="229"/>
      <c r="D50" s="205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1" t="n">
        <f aca="false">IF(D50="",0,VLOOKUP(D50,D$22:D49,1,0))</f>
        <v>0</v>
      </c>
      <c r="F50" s="230" t="n">
        <f aca="false">($B50*$B$7+$C50*$C$7)/100</f>
        <v>0</v>
      </c>
      <c r="G50" s="207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08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09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09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0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3"/>
      <c r="M50" s="223"/>
      <c r="N50" s="223"/>
      <c r="O50" s="212"/>
      <c r="P50" s="213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4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8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19"/>
      <c r="AB50" s="220"/>
      <c r="AC50" s="220"/>
      <c r="BB50" s="10" t="str">
        <f aca="false">IF(A50="","",1)</f>
        <v/>
      </c>
    </row>
    <row r="51" customFormat="false" ht="12.75" hidden="false" customHeight="false" outlineLevel="0" collapsed="false">
      <c r="A51" s="227"/>
      <c r="B51" s="228"/>
      <c r="C51" s="229"/>
      <c r="D51" s="205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1" t="n">
        <f aca="false">IF(D51="",0,VLOOKUP(D51,D$22:D50,1,0))</f>
        <v>0</v>
      </c>
      <c r="F51" s="230" t="n">
        <f aca="false">($B51*$B$7+$C51*$C$7)/100</f>
        <v>0</v>
      </c>
      <c r="G51" s="207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08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09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09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0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3"/>
      <c r="M51" s="223"/>
      <c r="N51" s="223"/>
      <c r="O51" s="212"/>
      <c r="P51" s="213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4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8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19"/>
      <c r="AB51" s="220"/>
      <c r="AC51" s="220"/>
      <c r="BB51" s="10" t="str">
        <f aca="false">IF(A51="","",1)</f>
        <v/>
      </c>
    </row>
    <row r="52" customFormat="false" ht="12.75" hidden="false" customHeight="false" outlineLevel="0" collapsed="false">
      <c r="A52" s="227"/>
      <c r="B52" s="228"/>
      <c r="C52" s="229"/>
      <c r="D52" s="205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1" t="n">
        <f aca="false">IF(D52="",0,VLOOKUP(D52,D$22:D51,1,0))</f>
        <v>0</v>
      </c>
      <c r="F52" s="230" t="n">
        <f aca="false">($B52*$B$7+$C52*$C$7)/100</f>
        <v>0</v>
      </c>
      <c r="G52" s="207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08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09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09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0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3"/>
      <c r="M52" s="223"/>
      <c r="N52" s="223"/>
      <c r="O52" s="212"/>
      <c r="P52" s="213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4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8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19"/>
      <c r="AB52" s="220"/>
      <c r="AC52" s="220"/>
      <c r="BB52" s="10" t="str">
        <f aca="false">IF(A52="","",1)</f>
        <v/>
      </c>
    </row>
    <row r="53" customFormat="false" ht="12.75" hidden="false" customHeight="false" outlineLevel="0" collapsed="false">
      <c r="A53" s="227"/>
      <c r="B53" s="228"/>
      <c r="C53" s="229"/>
      <c r="D53" s="205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1" t="n">
        <f aca="false">IF(D53="",0,VLOOKUP(D53,D$22:D52,1,0))</f>
        <v>0</v>
      </c>
      <c r="F53" s="230" t="n">
        <f aca="false">($B53*$B$7+$C53*$C$7)/100</f>
        <v>0</v>
      </c>
      <c r="G53" s="207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08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09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09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0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3"/>
      <c r="M53" s="223"/>
      <c r="N53" s="223"/>
      <c r="O53" s="212"/>
      <c r="P53" s="213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4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8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19"/>
      <c r="AB53" s="220"/>
      <c r="AC53" s="220"/>
      <c r="BB53" s="10" t="str">
        <f aca="false">IF(A53="","",1)</f>
        <v/>
      </c>
    </row>
    <row r="54" customFormat="false" ht="12.75" hidden="false" customHeight="false" outlineLevel="0" collapsed="false">
      <c r="A54" s="227"/>
      <c r="B54" s="228"/>
      <c r="C54" s="229"/>
      <c r="D54" s="205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1" t="n">
        <f aca="false">IF(D54="",0,VLOOKUP(D54,D$22:D53,1,0))</f>
        <v>0</v>
      </c>
      <c r="F54" s="230" t="n">
        <f aca="false">($B54*$B$7+$C54*$C$7)/100</f>
        <v>0</v>
      </c>
      <c r="G54" s="207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08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09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09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0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3"/>
      <c r="M54" s="223"/>
      <c r="N54" s="223"/>
      <c r="O54" s="212"/>
      <c r="P54" s="213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4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8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19"/>
      <c r="AB54" s="220"/>
      <c r="AC54" s="220"/>
      <c r="BB54" s="10" t="str">
        <f aca="false">IF(A54="","",1)</f>
        <v/>
      </c>
    </row>
    <row r="55" customFormat="false" ht="12.75" hidden="false" customHeight="false" outlineLevel="0" collapsed="false">
      <c r="A55" s="227"/>
      <c r="B55" s="228"/>
      <c r="C55" s="229"/>
      <c r="D55" s="205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1" t="n">
        <f aca="false">IF(D55="",0,VLOOKUP(D55,D$22:D54,1,0))</f>
        <v>0</v>
      </c>
      <c r="F55" s="230" t="n">
        <f aca="false">($B55*$B$7+$C55*$C$7)/100</f>
        <v>0</v>
      </c>
      <c r="G55" s="207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08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09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09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0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3"/>
      <c r="M55" s="223"/>
      <c r="N55" s="223"/>
      <c r="O55" s="212"/>
      <c r="P55" s="213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4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8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19"/>
      <c r="AB55" s="220"/>
      <c r="AC55" s="220"/>
      <c r="BB55" s="10" t="str">
        <f aca="false">IF(A55="","",1)</f>
        <v/>
      </c>
    </row>
    <row r="56" customFormat="false" ht="12.75" hidden="false" customHeight="false" outlineLevel="0" collapsed="false">
      <c r="A56" s="227"/>
      <c r="B56" s="228"/>
      <c r="C56" s="229"/>
      <c r="D56" s="205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1" t="n">
        <f aca="false">IF(D56="",0,VLOOKUP(D56,D$22:D55,1,0))</f>
        <v>0</v>
      </c>
      <c r="F56" s="230" t="n">
        <f aca="false">($B56*$B$7+$C56*$C$7)/100</f>
        <v>0</v>
      </c>
      <c r="G56" s="207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08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09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09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0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3"/>
      <c r="M56" s="223"/>
      <c r="N56" s="223"/>
      <c r="O56" s="212"/>
      <c r="P56" s="213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4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8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19"/>
      <c r="AB56" s="220"/>
      <c r="AC56" s="220"/>
      <c r="BB56" s="10" t="str">
        <f aca="false">IF(A56="","",1)</f>
        <v/>
      </c>
    </row>
    <row r="57" customFormat="false" ht="12.75" hidden="false" customHeight="false" outlineLevel="0" collapsed="false">
      <c r="A57" s="227"/>
      <c r="B57" s="228"/>
      <c r="C57" s="229"/>
      <c r="D57" s="205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1" t="n">
        <f aca="false">IF(D57="",0,VLOOKUP(D57,D$21:D56,1,0))</f>
        <v>0</v>
      </c>
      <c r="F57" s="230" t="n">
        <f aca="false">($B57*$B$7+$C57*$C$7)/100</f>
        <v>0</v>
      </c>
      <c r="G57" s="207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08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09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09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0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3"/>
      <c r="M57" s="223"/>
      <c r="N57" s="223"/>
      <c r="O57" s="212"/>
      <c r="P57" s="213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4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31"/>
      <c r="Y57" s="218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19"/>
      <c r="AB57" s="220"/>
      <c r="AC57" s="220"/>
      <c r="BB57" s="10" t="str">
        <f aca="false">IF(A57="","",1)</f>
        <v/>
      </c>
    </row>
    <row r="58" customFormat="false" ht="12.75" hidden="false" customHeight="false" outlineLevel="0" collapsed="false">
      <c r="A58" s="227"/>
      <c r="B58" s="228"/>
      <c r="C58" s="229"/>
      <c r="D58" s="205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1" t="n">
        <f aca="false">IF(D58="",0,VLOOKUP(D58,D$22:D57,1,0))</f>
        <v>0</v>
      </c>
      <c r="F58" s="230" t="n">
        <f aca="false">($B58*$B$7+$C58*$C$7)/100</f>
        <v>0</v>
      </c>
      <c r="G58" s="207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08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09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09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0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3"/>
      <c r="M58" s="223"/>
      <c r="N58" s="223"/>
      <c r="O58" s="212"/>
      <c r="P58" s="213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4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8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19"/>
      <c r="AB58" s="220"/>
      <c r="AC58" s="220"/>
      <c r="BB58" s="10" t="str">
        <f aca="false">IF(A58="","",1)</f>
        <v/>
      </c>
    </row>
    <row r="59" customFormat="false" ht="12.75" hidden="false" customHeight="false" outlineLevel="0" collapsed="false">
      <c r="A59" s="227"/>
      <c r="B59" s="228"/>
      <c r="C59" s="229"/>
      <c r="D59" s="205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1" t="n">
        <f aca="false">IF(D59="",0,VLOOKUP(D59,D$22:D58,1,0))</f>
        <v>0</v>
      </c>
      <c r="F59" s="230" t="n">
        <f aca="false">($B59*$B$7+$C59*$C$7)/100</f>
        <v>0</v>
      </c>
      <c r="G59" s="207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08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09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09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0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2"/>
      <c r="M59" s="232"/>
      <c r="N59" s="232"/>
      <c r="O59" s="212"/>
      <c r="P59" s="233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4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8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19"/>
      <c r="AB59" s="220"/>
      <c r="AC59" s="220"/>
      <c r="BB59" s="10" t="str">
        <f aca="false">IF(A59="","",1)</f>
        <v/>
      </c>
    </row>
    <row r="60" customFormat="false" ht="12.75" hidden="false" customHeight="false" outlineLevel="0" collapsed="false">
      <c r="A60" s="227"/>
      <c r="B60" s="228"/>
      <c r="C60" s="229"/>
      <c r="D60" s="205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1" t="n">
        <f aca="false">IF(D60="",0,VLOOKUP(D60,D$22:D59,1,0))</f>
        <v>0</v>
      </c>
      <c r="F60" s="230" t="n">
        <f aca="false">($B60*$B$7+$C60*$C$7)/100</f>
        <v>0</v>
      </c>
      <c r="G60" s="207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08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09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09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0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2"/>
      <c r="M60" s="232"/>
      <c r="N60" s="232"/>
      <c r="O60" s="212"/>
      <c r="P60" s="233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4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8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19"/>
      <c r="AB60" s="220"/>
      <c r="AC60" s="220"/>
      <c r="BB60" s="10" t="str">
        <f aca="false">IF(A60="","",1)</f>
        <v/>
      </c>
    </row>
    <row r="61" customFormat="false" ht="12.75" hidden="false" customHeight="false" outlineLevel="0" collapsed="false">
      <c r="A61" s="227"/>
      <c r="B61" s="228"/>
      <c r="C61" s="229"/>
      <c r="D61" s="205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1" t="n">
        <f aca="false">IF(D61="",0,VLOOKUP(D61,D$22:D60,1,0))</f>
        <v>0</v>
      </c>
      <c r="F61" s="230" t="n">
        <f aca="false">($B61*$B$7+$C61*$C$7)/100</f>
        <v>0</v>
      </c>
      <c r="G61" s="207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08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09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09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0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3"/>
      <c r="M61" s="223"/>
      <c r="N61" s="223"/>
      <c r="O61" s="212"/>
      <c r="P61" s="213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4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8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19"/>
      <c r="AB61" s="220"/>
      <c r="AC61" s="220"/>
      <c r="BB61" s="10" t="str">
        <f aca="false">IF(A61="","",1)</f>
        <v/>
      </c>
    </row>
    <row r="62" customFormat="false" ht="12.75" hidden="false" customHeight="false" outlineLevel="0" collapsed="false">
      <c r="A62" s="227"/>
      <c r="B62" s="228"/>
      <c r="C62" s="229"/>
      <c r="D62" s="205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1" t="n">
        <f aca="false">IF(D62="",0,VLOOKUP(D62,D$22:D61,1,0))</f>
        <v>0</v>
      </c>
      <c r="F62" s="230" t="n">
        <f aca="false">($B62*$B$7+$C62*$C$7)/100</f>
        <v>0</v>
      </c>
      <c r="G62" s="207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08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09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09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0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3"/>
      <c r="M62" s="223"/>
      <c r="N62" s="223"/>
      <c r="O62" s="212"/>
      <c r="P62" s="213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4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8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19"/>
      <c r="AB62" s="220"/>
      <c r="AC62" s="220"/>
      <c r="BB62" s="10" t="str">
        <f aca="false">IF(A62="","",1)</f>
        <v/>
      </c>
    </row>
    <row r="63" customFormat="false" ht="12.75" hidden="true" customHeight="false" outlineLevel="0" collapsed="false">
      <c r="A63" s="227"/>
      <c r="B63" s="228"/>
      <c r="C63" s="229"/>
      <c r="D63" s="205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1" t="n">
        <f aca="false">IF(D63="",0,VLOOKUP(D63,D$22:D62,1,0))</f>
        <v>0</v>
      </c>
      <c r="F63" s="230" t="n">
        <f aca="false">($B63*$B$7+$C63*$C$7)/100</f>
        <v>0</v>
      </c>
      <c r="G63" s="234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5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09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09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0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3"/>
      <c r="M63" s="223"/>
      <c r="N63" s="223"/>
      <c r="O63" s="212"/>
      <c r="P63" s="213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4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8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19"/>
      <c r="AB63" s="220"/>
      <c r="AC63" s="220"/>
      <c r="BB63" s="10" t="str">
        <f aca="false">IF(A63="","",1)</f>
        <v/>
      </c>
    </row>
    <row r="64" customFormat="false" ht="12.75" hidden="true" customHeight="true" outlineLevel="0" collapsed="false">
      <c r="A64" s="227"/>
      <c r="B64" s="228"/>
      <c r="C64" s="229"/>
      <c r="D64" s="205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1" t="n">
        <f aca="false">IF(D64="",0,VLOOKUP(D64,D$22:D52,1,0))</f>
        <v>0</v>
      </c>
      <c r="F64" s="230" t="n">
        <f aca="false">($B64*$B$7+$C64*$C$7)/100</f>
        <v>0</v>
      </c>
      <c r="G64" s="236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7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09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09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0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3"/>
      <c r="M64" s="223"/>
      <c r="N64" s="223"/>
      <c r="O64" s="212"/>
      <c r="P64" s="213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4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8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19"/>
      <c r="AB64" s="220"/>
      <c r="AC64" s="220"/>
      <c r="BB64" s="10" t="str">
        <f aca="false">IF(A64="","",1)</f>
        <v/>
      </c>
    </row>
    <row r="65" customFormat="false" ht="12.75" hidden="true" customHeight="false" outlineLevel="0" collapsed="false">
      <c r="A65" s="227"/>
      <c r="B65" s="228"/>
      <c r="C65" s="229"/>
      <c r="D65" s="205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1" t="n">
        <f aca="false">IF(D65="",0,VLOOKUP(D65,D$22:D53,1,0))</f>
        <v>0</v>
      </c>
      <c r="F65" s="230" t="n">
        <f aca="false">($B65*$B$7+$C65*$C$7)/100</f>
        <v>0</v>
      </c>
      <c r="G65" s="236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7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09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09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0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3"/>
      <c r="M65" s="223"/>
      <c r="N65" s="223"/>
      <c r="O65" s="212"/>
      <c r="P65" s="213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4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8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19"/>
      <c r="AB65" s="220"/>
      <c r="AC65" s="220"/>
      <c r="BB65" s="10" t="str">
        <f aca="false">IF(A65="","",1)</f>
        <v/>
      </c>
    </row>
    <row r="66" customFormat="false" ht="12.75" hidden="true" customHeight="false" outlineLevel="0" collapsed="false">
      <c r="A66" s="227"/>
      <c r="B66" s="228"/>
      <c r="C66" s="229"/>
      <c r="D66" s="205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1" t="n">
        <f aca="false">IF(D66="",0,VLOOKUP(D66,D$22:D51,1,0))</f>
        <v>0</v>
      </c>
      <c r="F66" s="230" t="n">
        <f aca="false">($B66*$B$7+$C66*$C$7)/100</f>
        <v>0</v>
      </c>
      <c r="G66" s="236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7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09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09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0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3"/>
      <c r="M66" s="223"/>
      <c r="N66" s="223"/>
      <c r="O66" s="212"/>
      <c r="P66" s="213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4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8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19"/>
      <c r="AB66" s="220"/>
      <c r="AC66" s="220"/>
      <c r="BB66" s="10" t="str">
        <f aca="false">IF(A66="","",1)</f>
        <v/>
      </c>
    </row>
    <row r="67" customFormat="false" ht="12.75" hidden="true" customHeight="false" outlineLevel="0" collapsed="false">
      <c r="A67" s="227"/>
      <c r="B67" s="228"/>
      <c r="C67" s="229"/>
      <c r="D67" s="205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1" t="n">
        <f aca="false">IF(D67="",0,VLOOKUP(D67,D$22:D52,1,0))</f>
        <v>0</v>
      </c>
      <c r="F67" s="230" t="n">
        <f aca="false">($B67*$B$7+$C67*$C$7)/100</f>
        <v>0</v>
      </c>
      <c r="G67" s="236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7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09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09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0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3"/>
      <c r="M67" s="223"/>
      <c r="N67" s="223"/>
      <c r="O67" s="212"/>
      <c r="P67" s="213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4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8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19"/>
      <c r="AB67" s="220"/>
      <c r="AC67" s="220"/>
      <c r="BB67" s="10" t="str">
        <f aca="false">IF(A67="","",1)</f>
        <v/>
      </c>
    </row>
    <row r="68" customFormat="false" ht="12.75" hidden="true" customHeight="false" outlineLevel="0" collapsed="false">
      <c r="A68" s="227"/>
      <c r="B68" s="228"/>
      <c r="C68" s="229"/>
      <c r="D68" s="205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1" t="n">
        <f aca="false">IF(D68="",0,VLOOKUP(D68,D$22:D53,1,0))</f>
        <v>0</v>
      </c>
      <c r="F68" s="230" t="n">
        <f aca="false">($B68*$B$7+$C68*$C$7)/100</f>
        <v>0</v>
      </c>
      <c r="G68" s="236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7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09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09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0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3"/>
      <c r="M68" s="223"/>
      <c r="N68" s="223"/>
      <c r="O68" s="212"/>
      <c r="P68" s="213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4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8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19"/>
      <c r="AB68" s="220"/>
      <c r="AC68" s="220"/>
      <c r="BB68" s="10" t="str">
        <f aca="false">IF(A68="","",1)</f>
        <v/>
      </c>
    </row>
    <row r="69" customFormat="false" ht="12.75" hidden="true" customHeight="false" outlineLevel="0" collapsed="false">
      <c r="A69" s="227"/>
      <c r="B69" s="228"/>
      <c r="C69" s="229"/>
      <c r="D69" s="205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1" t="n">
        <f aca="false">IF(D69="",0,VLOOKUP(D69,D$22:D54,1,0))</f>
        <v>0</v>
      </c>
      <c r="F69" s="230" t="n">
        <f aca="false">($B69*$B$7+$C69*$C$7)/100</f>
        <v>0</v>
      </c>
      <c r="G69" s="236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7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09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09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0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3"/>
      <c r="M69" s="223"/>
      <c r="N69" s="223"/>
      <c r="O69" s="212"/>
      <c r="P69" s="213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4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8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19"/>
      <c r="AB69" s="220"/>
      <c r="AC69" s="220"/>
      <c r="BB69" s="10" t="str">
        <f aca="false">IF(A69="","",1)</f>
        <v/>
      </c>
    </row>
    <row r="70" customFormat="false" ht="12.75" hidden="true" customHeight="false" outlineLevel="0" collapsed="false">
      <c r="A70" s="227"/>
      <c r="B70" s="228"/>
      <c r="C70" s="229"/>
      <c r="D70" s="205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1" t="n">
        <f aca="false">IF(D70="",0,VLOOKUP(D70,D$22:D55,1,0))</f>
        <v>0</v>
      </c>
      <c r="F70" s="230" t="n">
        <f aca="false">($B70*$B$7+$C70*$C$7)/100</f>
        <v>0</v>
      </c>
      <c r="G70" s="236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7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09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09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0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3"/>
      <c r="M70" s="223"/>
      <c r="N70" s="223"/>
      <c r="O70" s="212"/>
      <c r="P70" s="213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4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8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19"/>
      <c r="AB70" s="220"/>
      <c r="AC70" s="220"/>
      <c r="BB70" s="10" t="str">
        <f aca="false">IF(A70="","",1)</f>
        <v/>
      </c>
    </row>
    <row r="71" customFormat="false" ht="12.75" hidden="true" customHeight="false" outlineLevel="0" collapsed="false">
      <c r="A71" s="227"/>
      <c r="B71" s="228"/>
      <c r="C71" s="229"/>
      <c r="D71" s="205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1" t="n">
        <f aca="false">IF(D71="",0,VLOOKUP(D71,D$22:D56,1,0))</f>
        <v>0</v>
      </c>
      <c r="F71" s="230" t="n">
        <f aca="false">($B71*$B$7+$C71*$C$7)/100</f>
        <v>0</v>
      </c>
      <c r="G71" s="236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7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09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09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0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3"/>
      <c r="M71" s="223"/>
      <c r="N71" s="223"/>
      <c r="O71" s="212"/>
      <c r="P71" s="213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4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8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19"/>
      <c r="AB71" s="220"/>
      <c r="AC71" s="220"/>
      <c r="BB71" s="10" t="str">
        <f aca="false">IF(A71="","",1)</f>
        <v/>
      </c>
    </row>
    <row r="72" customFormat="false" ht="12.75" hidden="true" customHeight="false" outlineLevel="0" collapsed="false">
      <c r="A72" s="227"/>
      <c r="B72" s="228"/>
      <c r="C72" s="229"/>
      <c r="D72" s="205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1" t="n">
        <f aca="false">IF(D72="",0,VLOOKUP(D72,D$22:D57,1,0))</f>
        <v>0</v>
      </c>
      <c r="F72" s="230" t="n">
        <f aca="false">($B72*$B$7+$C72*$C$7)/100</f>
        <v>0</v>
      </c>
      <c r="G72" s="236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7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09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09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0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3"/>
      <c r="M72" s="223"/>
      <c r="N72" s="223"/>
      <c r="O72" s="212"/>
      <c r="P72" s="213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4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8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19"/>
      <c r="AB72" s="220"/>
      <c r="AC72" s="220"/>
      <c r="BB72" s="10" t="str">
        <f aca="false">IF(A72="","",1)</f>
        <v/>
      </c>
    </row>
    <row r="73" customFormat="false" ht="12.75" hidden="true" customHeight="false" outlineLevel="0" collapsed="false">
      <c r="A73" s="227"/>
      <c r="B73" s="228"/>
      <c r="C73" s="229"/>
      <c r="D73" s="205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1" t="n">
        <f aca="false">IF(D73="",0,VLOOKUP(D73,D$22:D57,1,0))</f>
        <v>0</v>
      </c>
      <c r="F73" s="230" t="n">
        <f aca="false">($B73*$B$7+$C73*$C$7)/100</f>
        <v>0</v>
      </c>
      <c r="G73" s="236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7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09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09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0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3"/>
      <c r="M73" s="223"/>
      <c r="N73" s="223"/>
      <c r="O73" s="212"/>
      <c r="P73" s="213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4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8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19"/>
      <c r="AB73" s="220"/>
      <c r="AC73" s="220"/>
      <c r="BB73" s="10" t="str">
        <f aca="false">IF(A73="","",1)</f>
        <v/>
      </c>
    </row>
    <row r="74" customFormat="false" ht="12.75" hidden="true" customHeight="false" outlineLevel="0" collapsed="false">
      <c r="A74" s="227"/>
      <c r="B74" s="228"/>
      <c r="C74" s="229"/>
      <c r="D74" s="205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1" t="n">
        <f aca="false">IF(D74="",0,VLOOKUP(D74,D$22:D58,1,0))</f>
        <v>0</v>
      </c>
      <c r="F74" s="230" t="n">
        <f aca="false">($B74*$B$7+$C74*$C$7)/100</f>
        <v>0</v>
      </c>
      <c r="G74" s="236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7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09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09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0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3"/>
      <c r="M74" s="223"/>
      <c r="N74" s="223"/>
      <c r="O74" s="212"/>
      <c r="P74" s="213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4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8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19"/>
      <c r="AB74" s="220"/>
      <c r="AC74" s="220"/>
      <c r="BB74" s="10" t="str">
        <f aca="false">IF(A74="","",1)</f>
        <v/>
      </c>
    </row>
    <row r="75" customFormat="false" ht="12.75" hidden="true" customHeight="false" outlineLevel="0" collapsed="false">
      <c r="A75" s="227"/>
      <c r="B75" s="228"/>
      <c r="C75" s="229"/>
      <c r="D75" s="205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1" t="n">
        <f aca="false">IF(D75="",0,VLOOKUP(D75,D$22:D59,1,0))</f>
        <v>0</v>
      </c>
      <c r="F75" s="230" t="n">
        <f aca="false">($B75*$B$7+$C75*$C$7)/100</f>
        <v>0</v>
      </c>
      <c r="G75" s="236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7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09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09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0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3"/>
      <c r="M75" s="223"/>
      <c r="N75" s="223"/>
      <c r="O75" s="212"/>
      <c r="P75" s="213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4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8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19"/>
      <c r="AB75" s="220"/>
      <c r="AC75" s="220"/>
      <c r="BB75" s="10" t="str">
        <f aca="false">IF(A75="","",1)</f>
        <v/>
      </c>
    </row>
    <row r="76" customFormat="false" ht="12.75" hidden="true" customHeight="false" outlineLevel="0" collapsed="false">
      <c r="A76" s="227"/>
      <c r="B76" s="228"/>
      <c r="C76" s="229"/>
      <c r="D76" s="205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1" t="n">
        <f aca="false">IF(D76="",0,VLOOKUP(D76,D$22:D59,1,0))</f>
        <v>0</v>
      </c>
      <c r="F76" s="230" t="n">
        <f aca="false">($B76*$B$7+$C76*$C$7)/100</f>
        <v>0</v>
      </c>
      <c r="G76" s="236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7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09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09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0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3"/>
      <c r="M76" s="223"/>
      <c r="N76" s="223"/>
      <c r="O76" s="212"/>
      <c r="P76" s="213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4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8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19"/>
      <c r="AB76" s="220"/>
      <c r="AC76" s="220"/>
      <c r="BB76" s="10" t="str">
        <f aca="false">IF(A76="","",1)</f>
        <v/>
      </c>
    </row>
    <row r="77" customFormat="false" ht="12.75" hidden="true" customHeight="false" outlineLevel="0" collapsed="false">
      <c r="A77" s="227"/>
      <c r="B77" s="228"/>
      <c r="C77" s="229"/>
      <c r="D77" s="205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1" t="n">
        <f aca="false">IF(D77="",0,VLOOKUP(D77,D$22:D75,1,0))</f>
        <v>0</v>
      </c>
      <c r="F77" s="230" t="n">
        <f aca="false">($B77*$B$7+$C77*$C$7)/100</f>
        <v>0</v>
      </c>
      <c r="G77" s="236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7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09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09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0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3"/>
      <c r="M77" s="223"/>
      <c r="N77" s="223"/>
      <c r="O77" s="212"/>
      <c r="P77" s="213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4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8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19"/>
      <c r="AB77" s="220"/>
      <c r="AC77" s="220"/>
      <c r="BB77" s="10" t="str">
        <f aca="false">IF(A77="","",1)</f>
        <v/>
      </c>
    </row>
    <row r="78" customFormat="false" ht="12.75" hidden="true" customHeight="false" outlineLevel="0" collapsed="false">
      <c r="A78" s="227"/>
      <c r="B78" s="228"/>
      <c r="C78" s="229"/>
      <c r="D78" s="205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1" t="n">
        <f aca="false">IF(D78="",0,VLOOKUP(D78,D$22:D75,1,0))</f>
        <v>0</v>
      </c>
      <c r="F78" s="230" t="n">
        <f aca="false">($B78*$B$7+$C78*$C$7)/100</f>
        <v>0</v>
      </c>
      <c r="G78" s="236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7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09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09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0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3"/>
      <c r="M78" s="223"/>
      <c r="N78" s="223"/>
      <c r="O78" s="212"/>
      <c r="P78" s="213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4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8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19"/>
      <c r="AB78" s="220"/>
      <c r="AC78" s="220"/>
      <c r="BB78" s="10" t="str">
        <f aca="false">IF(A78="","",1)</f>
        <v/>
      </c>
    </row>
    <row r="79" customFormat="false" ht="12.75" hidden="true" customHeight="false" outlineLevel="0" collapsed="false">
      <c r="A79" s="227"/>
      <c r="B79" s="228"/>
      <c r="C79" s="229"/>
      <c r="D79" s="205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1" t="n">
        <f aca="false">IF(D79="",0,VLOOKUP(D79,D$22:D75,1,0))</f>
        <v>0</v>
      </c>
      <c r="F79" s="230" t="n">
        <f aca="false">($B79*$B$7+$C79*$C$7)/100</f>
        <v>0</v>
      </c>
      <c r="G79" s="236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7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09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09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0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3"/>
      <c r="M79" s="223"/>
      <c r="N79" s="223"/>
      <c r="O79" s="212"/>
      <c r="P79" s="213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4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8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19"/>
      <c r="AB79" s="220"/>
      <c r="AC79" s="220"/>
      <c r="BB79" s="10" t="str">
        <f aca="false">IF(A79="","",1)</f>
        <v/>
      </c>
    </row>
    <row r="80" customFormat="false" ht="12.75" hidden="true" customHeight="false" outlineLevel="0" collapsed="false">
      <c r="A80" s="227"/>
      <c r="B80" s="228"/>
      <c r="C80" s="229"/>
      <c r="D80" s="205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1" t="n">
        <f aca="false">IF(D80="",0,VLOOKUP(D80,D$22:D79,1,0))</f>
        <v>0</v>
      </c>
      <c r="F80" s="230" t="n">
        <f aca="false">($B80*$B$7+$C80*$C$7)/100</f>
        <v>0</v>
      </c>
      <c r="G80" s="236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7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09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09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0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3"/>
      <c r="M80" s="223"/>
      <c r="N80" s="223"/>
      <c r="O80" s="212"/>
      <c r="P80" s="213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4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8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19"/>
      <c r="AB80" s="220"/>
      <c r="AC80" s="220"/>
      <c r="BB80" s="10" t="str">
        <f aca="false">IF(A80="","",1)</f>
        <v/>
      </c>
    </row>
    <row r="81" customFormat="false" ht="12.75" hidden="true" customHeight="false" outlineLevel="0" collapsed="false">
      <c r="A81" s="227"/>
      <c r="B81" s="228"/>
      <c r="C81" s="229"/>
      <c r="D81" s="205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1" t="n">
        <f aca="false">IF(D81="",0,VLOOKUP(D81,D$21:D80,1,0))</f>
        <v>0</v>
      </c>
      <c r="F81" s="230" t="n">
        <f aca="false">($B81*$B$7+$C81*$C$7)/100</f>
        <v>0</v>
      </c>
      <c r="G81" s="236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7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09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09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0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2"/>
      <c r="M81" s="232"/>
      <c r="N81" s="232"/>
      <c r="O81" s="212"/>
      <c r="P81" s="213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4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8"/>
      <c r="Y81" s="218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19"/>
      <c r="AB81" s="220"/>
      <c r="AC81" s="220"/>
      <c r="BB81" s="10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6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09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09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7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4" t="n">
        <f aca="false">IF(ISERROR(R82*J82),0,R82*J82)</f>
        <v>0</v>
      </c>
      <c r="V82" s="216" t="str">
        <f aca="false">IF(AND(A82="",F82=0),"",IF(F82=0,"Il manque le(s) % de rec. !",""))</f>
        <v/>
      </c>
      <c r="W82" s="251"/>
      <c r="X82" s="252"/>
      <c r="Y82" s="218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19"/>
      <c r="AB82" s="220"/>
      <c r="AC82" s="220"/>
      <c r="BB82" s="10" t="str">
        <f aca="false">IF(A82="","",1)</f>
        <v/>
      </c>
    </row>
    <row r="83" customFormat="false" ht="15" hidden="true" customHeight="false" outlineLevel="0" collapsed="false">
      <c r="A83" s="253" t="s">
        <v>84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5"/>
      <c r="N83" s="215"/>
      <c r="O83" s="215"/>
      <c r="P83" s="254"/>
      <c r="Q83" s="254"/>
      <c r="R83" s="254"/>
      <c r="S83" s="254"/>
      <c r="T83" s="10"/>
      <c r="U83" s="10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DORNE</v>
      </c>
      <c r="B84" s="258" t="str">
        <f aca="false">C3</f>
        <v>DORNE A DORNAS</v>
      </c>
      <c r="C84" s="259" t="n">
        <f aca="false">A4</f>
        <v>41443</v>
      </c>
      <c r="D84" s="260" t="n">
        <f aca="false">IF(ISERROR(SUM($T$23:$T$82)/SUM($U$23:$U$82)),"",SUM($T$23:$T$82)/SUM($U$23:$U$82))</f>
        <v>13.4444444444444</v>
      </c>
      <c r="E84" s="261" t="n">
        <f aca="false">N13</f>
        <v>8</v>
      </c>
      <c r="F84" s="258" t="n">
        <f aca="false">N14</f>
        <v>8</v>
      </c>
      <c r="G84" s="258" t="n">
        <f aca="false">N15</f>
        <v>4</v>
      </c>
      <c r="H84" s="258" t="n">
        <f aca="false">N16</f>
        <v>3</v>
      </c>
      <c r="I84" s="258" t="n">
        <f aca="false">N17</f>
        <v>1</v>
      </c>
      <c r="J84" s="262" t="n">
        <f aca="false">N8</f>
        <v>12.625</v>
      </c>
      <c r="K84" s="260" t="n">
        <f aca="false">N9</f>
        <v>2.3418742493994</v>
      </c>
      <c r="L84" s="261" t="n">
        <f aca="false">N10</f>
        <v>10</v>
      </c>
      <c r="M84" s="261" t="n">
        <f aca="false">N11</f>
        <v>16</v>
      </c>
      <c r="N84" s="260" t="n">
        <f aca="false">O8</f>
        <v>1.625</v>
      </c>
      <c r="O84" s="260" t="n">
        <f aca="false">O9</f>
        <v>0.695970545353753</v>
      </c>
      <c r="P84" s="261" t="n">
        <f aca="false">O10</f>
        <v>1</v>
      </c>
      <c r="Q84" s="261" t="n">
        <f aca="false">O11</f>
        <v>3</v>
      </c>
      <c r="R84" s="261" t="n">
        <f aca="false">F21</f>
        <v>1.028</v>
      </c>
      <c r="S84" s="261" t="n">
        <f aca="false">K11</f>
        <v>0</v>
      </c>
      <c r="T84" s="261" t="n">
        <f aca="false">K12</f>
        <v>4</v>
      </c>
      <c r="U84" s="261" t="n">
        <f aca="false">K13</f>
        <v>4</v>
      </c>
      <c r="V84" s="263" t="n">
        <f aca="false">K14</f>
        <v>0</v>
      </c>
      <c r="W84" s="264" t="n">
        <f aca="false">K15</f>
        <v>0</v>
      </c>
      <c r="Z84" s="265"/>
      <c r="AA84" s="265"/>
      <c r="AB84" s="256"/>
      <c r="AC84" s="256"/>
      <c r="AD84" s="256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6" t="s">
        <v>85</v>
      </c>
      <c r="R86" s="10"/>
      <c r="S86" s="216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86</v>
      </c>
      <c r="R87" s="10"/>
      <c r="S87" s="216" t="n">
        <f aca="false">VLOOKUP(MAX($S$23:$S$82),($S$23:$U$82),1,0)</f>
        <v>30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87</v>
      </c>
      <c r="R88" s="10"/>
      <c r="S88" s="216" t="n">
        <f aca="false">VLOOKUP((S87),($S$23:$U$82),2,0)</f>
        <v>60</v>
      </c>
      <c r="T88" s="10"/>
      <c r="U88" s="10"/>
      <c r="V88" s="10"/>
    </row>
    <row r="89" customFormat="false" ht="12.75" hidden="true" customHeight="false" outlineLevel="0" collapsed="false">
      <c r="Q89" s="10" t="s">
        <v>88</v>
      </c>
      <c r="R89" s="10"/>
      <c r="S89" s="216" t="n">
        <f aca="false">VLOOKUP((S87),($S$23:$U$82),3,0)</f>
        <v>4</v>
      </c>
      <c r="T89" s="10"/>
    </row>
    <row r="90" customFormat="false" ht="12.75" hidden="false" customHeight="false" outlineLevel="0" collapsed="false">
      <c r="Q90" s="10" t="s">
        <v>89</v>
      </c>
      <c r="R90" s="10"/>
      <c r="S90" s="267" t="n">
        <f aca="false">IF(ISERROR(SUM($T$23:$T$82)/SUM($U$23:$U$82)),"",(SUM($T$23:$T$82)-S88)/(SUM($U$23:$U$82)-S89))</f>
        <v>13</v>
      </c>
      <c r="T90" s="10"/>
    </row>
    <row r="91" customFormat="false" ht="12.75" hidden="false" customHeight="false" outlineLevel="0" collapsed="false">
      <c r="Q91" s="215" t="s">
        <v>90</v>
      </c>
      <c r="R91" s="215"/>
      <c r="S91" s="215" t="str">
        <f aca="false">INDEX('[1]liste reference'!$A$8:$A$904,$T$91)</f>
        <v>LEASPX</v>
      </c>
      <c r="T91" s="10" t="n">
        <f aca="false">IF(ISERROR(MATCH($S$93,'[1]liste reference'!$A$8:$A$904,0)),MATCH($S$93,'[1]liste reference'!$B$8:$B$904,0),(MATCH($S$93,'[1]liste reference'!$A$8:$A$904,0)))</f>
        <v>34</v>
      </c>
      <c r="U91" s="256"/>
    </row>
    <row r="92" customFormat="false" ht="12.75" hidden="false" customHeight="false" outlineLevel="0" collapsed="false">
      <c r="Q92" s="10" t="s">
        <v>91</v>
      </c>
      <c r="R92" s="10"/>
      <c r="S92" s="10" t="n">
        <f aca="false">MATCH(S87,$S$23:$S$82,0)</f>
        <v>1</v>
      </c>
      <c r="T92" s="10"/>
    </row>
    <row r="93" customFormat="false" ht="12.75" hidden="false" customHeight="false" outlineLevel="0" collapsed="false">
      <c r="Q93" s="215" t="s">
        <v>92</v>
      </c>
      <c r="R93" s="10"/>
      <c r="S93" s="215" t="str">
        <f aca="false">INDEX($A$23:$A$82,$S$92)</f>
        <v>LEASPX</v>
      </c>
      <c r="T93" s="10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31:A82">
    <cfRule type="expression" priority="2" aboveAverage="0" equalAverage="0" bottom="0" percent="0" rank="0" text="" dxfId="0">
      <formula>ISTEXT($E31)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B23:C30">
    <cfRule type="cellIs" priority="28" operator="equal" aboveAverage="0" equalAverage="0" bottom="0" percent="0" rank="0" text="" dxfId="26">
      <formula>0</formula>
    </cfRule>
  </conditionalFormatting>
  <dataValidations count="5"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2013-11-26T15:03:21Z</dcterms:created>
  <dc:creator>Laurent Bourgoin</dc:creator>
  <dc:description/>
  <dc:language>fr-FR</dc:language>
  <cp:lastModifiedBy>Laurent Bourgoin</cp:lastModifiedBy>
  <dcterms:modified xsi:type="dcterms:W3CDTF">2013-11-26T15:04:04Z</dcterms:modified>
  <cp:revision>0</cp:revision>
  <dc:subject/>
  <dc:title/>
</cp:coreProperties>
</file>