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<sst xmlns="http://schemas.openxmlformats.org/spreadsheetml/2006/main" count="155" uniqueCount="91">
  <si>
    <t xml:space="preserve">Relevés floristiques aquatiques - IBMR</t>
  </si>
  <si>
    <t xml:space="preserve">modèle Irstea-GIS</t>
  </si>
  <si>
    <t xml:space="preserve">EYBEAU</t>
  </si>
  <si>
    <t xml:space="preserve">LBOURGOIN MSCHNEIDER</t>
  </si>
  <si>
    <t xml:space="preserve">EYRIEUX</t>
  </si>
  <si>
    <t xml:space="preserve">EYRIEUX A BEAUCHASTEL</t>
  </si>
  <si>
    <t xml:space="preserve">06107900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</si>
  <si>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</si>
  <si>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</si>
  <si>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</si>
  <si>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</si>
  <si>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</si>
  <si>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</si>
  <si>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</si>
  <si>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</si>
  <si>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</si>
  <si>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</si>
  <si>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</si>
  <si>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</si>
  <si>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</si>
  <si>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</si>
  <si>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</si>
  <si>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</si>
  <si>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</si>
  <si>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</si>
  <si>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</si>
  <si>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</si>
  <si>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</si>
  <si>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</si>
  <si>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</si>
  <si>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</si>
  <si>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</si>
  <si>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</si>
  <si>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</si>
  <si>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</si>
  <si>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</si>
  <si>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</si>
  <si>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</si>
  <si>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</si>
  <si>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</si>
  <si>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</si>
  <si>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</si>
  <si>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</si>
  <si>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</si>
  <si>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</si>
  <si>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</si>
  <si>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</si>
  <si>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</si>
  <si>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</si>
  <si>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</si>
  <si>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</si>
  <si>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</si>
  <si>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</si>
  <si>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</si>
  <si>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</si>
  <si>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</si>
  <si>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</si>
  <si>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</si>
  <si>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</si>
  <si>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</si>
  <si>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</si>
  <si>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</si>
  <si>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</si>
  <si>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</si>
  <si>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</si>
  <si>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</si>
  <si>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</si>
  <si>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</si>
  <si>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</si>
  <si>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</si>
  <si>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</si>
  <si>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</si>
  <si>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</si>
  <si>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</si>
  <si>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</si>
  <si>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</si>
  <si>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</si>
  <si>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</si>
  <si>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</si>
  <si>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</si>
  <si>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MELSPX</t>
  </si>
  <si>
    <t xml:space="preserve">OEDSPX</t>
  </si>
  <si>
    <t xml:space="preserve">SPISPX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</si>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</sst>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EYBEAU_10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7.53846153846154</v>
      </c>
      <c r="N5" s="51"/>
      <c r="O5" s="52" t="s">
        <v>16</v>
      </c>
      <c r="P5" s="53" t="n">
        <v>8.22222222222222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3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100</v>
      </c>
      <c r="C7" s="69"/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8</v>
      </c>
      <c r="P8" s="83" t="n">
        <f aca="false">IF(ISERROR(AVERAGE(K23:K82)),"  ",AVERAGE(K23:K82))</f>
        <v>1.25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30.03</v>
      </c>
      <c r="C9" s="86"/>
      <c r="D9" s="87"/>
      <c r="E9" s="87"/>
      <c r="F9" s="88" t="n">
        <f aca="false">($B9*$B$7+$C9*$C$7)/100</f>
        <v>30.03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</v>
      </c>
      <c r="P9" s="83" t="n">
        <f aca="false">IF(ISERROR(STDEVP(K23:K82)),"  ",STDEVP(K23:K82))</f>
        <v>0.433012701892219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/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10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30.03</v>
      </c>
      <c r="C12" s="111"/>
      <c r="D12" s="87"/>
      <c r="E12" s="87"/>
      <c r="F12" s="104" t="n">
        <f aca="false">($B12*$B$7+$C12*$C$7)/100</f>
        <v>30.03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4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0</v>
      </c>
      <c r="M13" s="108"/>
      <c r="N13" s="116" t="s">
        <v>41</v>
      </c>
      <c r="O13" s="117" t="n">
        <f aca="false">COUNTIF(F23:F82,"&gt;0")</f>
        <v>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4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30.03</v>
      </c>
      <c r="C17" s="111"/>
      <c r="D17" s="87"/>
      <c r="E17" s="87"/>
      <c r="F17" s="129"/>
      <c r="G17" s="130" t="n">
        <f aca="false">($B17*$B$7+$C17*$C$7)/100</f>
        <v>30.03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30.03</v>
      </c>
      <c r="G19" s="150" t="n">
        <f aca="false">SUM(G16:G18)</f>
        <v>30.03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30.03</v>
      </c>
      <c r="C20" s="160" t="n">
        <f aca="false">SUM(C23:C62)</f>
        <v>0</v>
      </c>
      <c r="D20" s="161"/>
      <c r="E20" s="162" t="s">
        <v>54</v>
      </c>
      <c r="F20" s="163" t="n">
        <f aca="false">($B20*$B$7+$C20*$C$7)/100</f>
        <v>30.03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30.03</v>
      </c>
      <c r="C21" s="171" t="n">
        <f aca="false">C20*C7/100</f>
        <v>0</v>
      </c>
      <c r="D21" s="172" t="s">
        <v>57</v>
      </c>
      <c r="E21" s="173"/>
      <c r="F21" s="174" t="n">
        <f aca="false">B21+C21</f>
        <v>30.03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16</v>
      </c>
      <c r="B23" s="199" t="n">
        <v>13.36</v>
      </c>
      <c r="C23" s="200"/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13.36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13.36</v>
      </c>
      <c r="S23" s="212" t="n">
        <f aca="false">IF(OR(ISTEXT(H23),R23=0),"",IF(R23&lt;0.1,1,IF(R23&lt;1,2,IF(R23&lt;10,3,IF(R23&lt;50,4,IF(R23&gt;=50,5,""))))))</f>
        <v>4</v>
      </c>
      <c r="T23" s="212" t="n">
        <f aca="false">IF(ISERROR(S23*J23),0,S23*J23)</f>
        <v>24</v>
      </c>
      <c r="U23" s="212" t="n">
        <f aca="false">IF(ISERROR(S23*J23*K23),0,S23*J23*K23)</f>
        <v>24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0.01</v>
      </c>
      <c r="C24" s="218"/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Melosira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10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Melosira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8714</v>
      </c>
      <c r="R24" s="211" t="n">
        <f aca="false">IF(ISTEXT(H24),"",(B24*$B$7/100)+(C24*$C$7/100))</f>
        <v>0.01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10</v>
      </c>
      <c r="U24" s="212" t="n">
        <f aca="false">IF(ISERROR(S24*J24*K24),0,S24*J24*K24)</f>
        <v>10</v>
      </c>
      <c r="V24" s="228" t="n">
        <f aca="false">IF(ISERROR(S24*K24),0,S24*K24)</f>
        <v>1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MELSPX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62</v>
      </c>
    </row>
    <row r="25" customFormat="false" ht="12.75" hidden="false" customHeight="false" outlineLevel="0" collapsed="false">
      <c r="A25" s="216" t="s">
        <v>81</v>
      </c>
      <c r="B25" s="217" t="n">
        <v>0.15</v>
      </c>
      <c r="C25" s="218"/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0.15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0.15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12</v>
      </c>
      <c r="U25" s="212" t="n">
        <f aca="false">IF(ISERROR(S25*J25*K25),0,S25*J25*K25)</f>
        <v>24</v>
      </c>
      <c r="V25" s="228" t="n">
        <f aca="false">IF(ISERROR(S25*K25),0,S25*K25)</f>
        <v>4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82</v>
      </c>
      <c r="B26" s="217" t="n">
        <v>16.51</v>
      </c>
      <c r="C26" s="218"/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16.51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11" t="n">
        <f aca="false">IF(ISTEXT(H26),"",(B26*$B$7/100)+(C26*$C$7/100))</f>
        <v>16.51</v>
      </c>
      <c r="S26" s="212" t="n">
        <f aca="false">IF(OR(ISTEXT(H26),R26=0),"",IF(R26&lt;0.1,1,IF(R26&lt;1,2,IF(R26&lt;10,3,IF(R26&lt;50,4,IF(R26&gt;=50,5,""))))))</f>
        <v>4</v>
      </c>
      <c r="T26" s="212" t="n">
        <f aca="false">IF(ISERROR(S26*J26),0,S26*J26)</f>
        <v>40</v>
      </c>
      <c r="U26" s="212" t="n">
        <f aca="false">IF(ISERROR(S26*J26*K26),0,S26*J26*K26)</f>
        <v>40</v>
      </c>
      <c r="V26" s="228" t="n">
        <f aca="false">IF(ISERROR(S26*K26),0,S26*K26)</f>
        <v>4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79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79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79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79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79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79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79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79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79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30.03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13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EYRIEUX</v>
      </c>
      <c r="B84" s="180" t="str">
        <f aca="false">C3</f>
        <v>EYRIEUX A BEAUCHASTEL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7.53846153846154</v>
      </c>
      <c r="E84" s="254" t="n">
        <f aca="false">O13</f>
        <v>4</v>
      </c>
      <c r="F84" s="180" t="n">
        <f aca="false">O14</f>
        <v>4</v>
      </c>
      <c r="G84" s="180" t="n">
        <f aca="false">O15</f>
        <v>3</v>
      </c>
      <c r="H84" s="180" t="n">
        <f aca="false">O16</f>
        <v>1</v>
      </c>
      <c r="I84" s="180" t="n">
        <f aca="false">O17</f>
        <v>0</v>
      </c>
      <c r="J84" s="255" t="n">
        <f aca="false">O8</f>
        <v>8</v>
      </c>
      <c r="K84" s="256" t="n">
        <f aca="false">O9</f>
        <v>2</v>
      </c>
      <c r="L84" s="257" t="n">
        <f aca="false">O10</f>
        <v>6</v>
      </c>
      <c r="M84" s="257" t="n">
        <f aca="false">O11</f>
        <v>10</v>
      </c>
      <c r="N84" s="256" t="n">
        <f aca="false">P8</f>
        <v>1.25</v>
      </c>
      <c r="O84" s="256" t="n">
        <f aca="false">P9</f>
        <v>0.433012701892219</v>
      </c>
      <c r="P84" s="257" t="n">
        <f aca="false">P10</f>
        <v>1</v>
      </c>
      <c r="Q84" s="257" t="n">
        <f aca="false">P11</f>
        <v>2</v>
      </c>
      <c r="R84" s="257" t="n">
        <f aca="false">F21</f>
        <v>30.03</v>
      </c>
      <c r="S84" s="257" t="n">
        <f aca="false">L11</f>
        <v>0</v>
      </c>
      <c r="T84" s="257" t="n">
        <f aca="false">L12</f>
        <v>4</v>
      </c>
      <c r="U84" s="257" t="n">
        <f aca="false">L13</f>
        <v>0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84</v>
      </c>
      <c r="S87" s="8"/>
      <c r="T87" s="263" t="n">
        <f aca="false">VLOOKUP($T$91,($A$23:$U$82),20,FALSE())</f>
        <v>24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85</v>
      </c>
      <c r="S88" s="8"/>
      <c r="T88" s="263" t="n">
        <f aca="false">VLOOKUP($T$91,($A$23:$U$82),21,FALSE())</f>
        <v>24</v>
      </c>
      <c r="U88" s="8"/>
      <c r="V88" s="8" t="n">
        <f aca="false">COUNTIF(V23:V82,T89)</f>
        <v>3</v>
      </c>
    </row>
    <row r="89" customFormat="false" ht="12.75" hidden="true" customHeight="false" outlineLevel="0" collapsed="false">
      <c r="C89" s="261"/>
      <c r="D89" s="261"/>
      <c r="E89" s="261"/>
      <c r="R89" s="8" t="s">
        <v>86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87</v>
      </c>
      <c r="S90" s="8" t="s">
        <v>10</v>
      </c>
      <c r="T90" s="264" t="n">
        <f aca="false">IF(OR(ISERROR(SUM($U$23:$U$82)/SUM($V$23:$V$82)),F7&lt;&gt;100),-1,(SUM($U$23:$U$82)-T88)/(SUM($V$23:$V$82)-T89))</f>
        <v>8.22222222222222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88</v>
      </c>
      <c r="S91" s="212"/>
      <c r="T91" s="212" t="str">
        <f aca="false">INDEX('[1]liste reference'!$A$6:$A$1174,$U$91)</f>
        <v>CLASPX</v>
      </c>
      <c r="U91" s="8" t="n">
        <f aca="false">IF(ISERROR(MATCH($T$93,'[1]liste reference'!$A$6:$A$1174,0)),MATCH($T$93,'[1]liste reference'!$B$6:$B$1174,0),(MATCH($T$93,'[1]liste reference'!$A$6:$A$1174,0)))</f>
        <v>35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89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90</v>
      </c>
      <c r="S93" s="8"/>
      <c r="T93" s="212" t="str">
        <f aca="false">INDEX($A$23:$A$82,$T$92)</f>
        <v>CLASPX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2016-03-01T13:13:02Z</dcterms:created>
  <dc:creator>laurianne isebe</dc:creator>
  <dc:description/>
  <dc:language>fr-FR</dc:language>
  <cp:lastModifiedBy>laurianne isebe</cp:lastModifiedBy>
  <dcterms:modified xsi:type="dcterms:W3CDTF">2016-03-01T13:13:04Z</dcterms:modified>
  <cp:revision>0</cp:revision>
  <dc:subject/>
  <dc:title/>
</cp:coreProperties>
</file>