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<sst xmlns="http://schemas.openxmlformats.org/spreadsheetml/2006/main" count="99" uniqueCount="94">
  <si>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</si>
  <si>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</si>
  <si>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</si>
  <si>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C.BERNARD P.VAUDAUX</t>
  </si>
  <si>
    <t xml:space="preserve">conforme AFNOR T90-395 oct. 2003</t>
  </si>
  <si>
    <t xml:space="preserve">Ardèche</t>
  </si>
  <si>
    <t xml:space="preserve">Ardèche à Vogue</t>
  </si>
  <si>
    <t xml:space="preserve">06114450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</si>
  <si>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</si>
  <si>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</si>
  <si>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</si>
  <si>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</si>
  <si>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</si>
  <si>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</si>
  <si>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</si>
  <si>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</si>
  <si>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</si>
  <si>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</si>
  <si>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plat courant</t>
  </si>
  <si>
    <t xml:space="preserve">palt lentique</t>
  </si>
  <si>
    <t xml:space="preserve">niv. trophique:</t>
  </si>
  <si>
    <t xml:space="preserve">fort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</si>
  <si>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</si>
  <si>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</si>
  <si>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</si>
  <si>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</si>
  <si>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</si>
  <si>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</si>
  <si>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</si>
  <si>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</si>
  <si>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</si>
  <si>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</si>
  <si>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</si>
  <si>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</si>
  <si>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</si>
  <si>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</si>
  <si>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</si>
  <si>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</si>
  <si>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</si>
  <si>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</si>
  <si>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</si>
  <si>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</si>
  <si>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</si>
  <si>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</si>
  <si>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</si>
  <si>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</si>
  <si>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</si>
  <si>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</si>
  <si>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</si>
  <si>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</si>
  <si>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</si>
  <si>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</si>
  <si>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</si>
  <si>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</si>
  <si>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</si>
  <si>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</si>
  <si>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</si>
  <si>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</si>
  <si>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</si>
  <si>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</si>
  <si>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</si>
  <si>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</si>
  <si>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</si>
  <si>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</si>
  <si>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</si>
  <si>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</si>
  <si>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</si>
  <si>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</si>
  <si>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</si>
  <si>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</si>
  <si>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</si>
  <si>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</si>
  <si>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</si>
  <si>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</si>
  <si>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</si>
  <si>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</si>
  <si>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</si>
  <si>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</si>
  <si>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SPISPX</t>
  </si>
  <si>
    <t xml:space="preserve">VAUSPX</t>
  </si>
  <si>
    <t xml:space="preserve">CARSPX</t>
  </si>
  <si>
    <t xml:space="preserve">GLYFLU</t>
  </si>
  <si>
    <t xml:space="preserve">LYSVUL</t>
  </si>
  <si>
    <t xml:space="preserve">PHAARU</t>
  </si>
  <si>
    <t xml:space="preserve">VERANA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</si>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</sst>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ARVOG_12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41802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9.2</v>
      </c>
      <c r="M5" s="53"/>
      <c r="N5" s="54" t="s">
        <v>16</v>
      </c>
      <c r="O5" s="55" t="n">
        <v>10.5714285714286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9.16666666666667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5.01</v>
      </c>
      <c r="C9" s="87" t="n">
        <v>15.1</v>
      </c>
      <c r="D9" s="88"/>
      <c r="E9" s="88"/>
      <c r="F9" s="89" t="n">
        <f aca="false">($B9*$B$7+$C9*$C$7)/100</f>
        <v>5.5145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3.28718048721934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14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5.01</v>
      </c>
      <c r="C12" s="119" t="n">
        <v>15.04</v>
      </c>
      <c r="D12" s="111"/>
      <c r="E12" s="111"/>
      <c r="F12" s="112" t="n">
        <f aca="false">($B12*$B$7+$C12*$C$7)/100</f>
        <v>5.5115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0.06</v>
      </c>
      <c r="D15" s="111"/>
      <c r="E15" s="111"/>
      <c r="F15" s="112" t="n">
        <f aca="false">($B15*$B$7+$C15*$C$7)/100</f>
        <v>0.003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5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5.01</v>
      </c>
      <c r="C17" s="119" t="n">
        <v>15.04</v>
      </c>
      <c r="D17" s="111"/>
      <c r="E17" s="111"/>
      <c r="F17" s="143"/>
      <c r="G17" s="112" t="n">
        <f aca="false">($B17*$B$7+$C17*$C$7)/100</f>
        <v>5.5115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0.06</v>
      </c>
      <c r="D18" s="111"/>
      <c r="E18" s="147" t="s">
        <v>54</v>
      </c>
      <c r="F18" s="143"/>
      <c r="G18" s="112" t="n">
        <f aca="false">($B18*$B$7+$C18*$C$7)/100</f>
        <v>0.003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5.5145</v>
      </c>
      <c r="G19" s="156" t="n">
        <f aca="false">SUM(G16:G18)</f>
        <v>5.5145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5.01</v>
      </c>
      <c r="C20" s="166" t="n">
        <f aca="false">SUM(C23:C82)</f>
        <v>15.1</v>
      </c>
      <c r="D20" s="167"/>
      <c r="E20" s="168" t="s">
        <v>54</v>
      </c>
      <c r="F20" s="169" t="n">
        <f aca="false">($B20*$B$7+$C20*$C$7)/100</f>
        <v>5.5145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4.7595</v>
      </c>
      <c r="C21" s="179" t="n">
        <f aca="false">C20*C7/100</f>
        <v>0.755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5.5145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16</v>
      </c>
      <c r="B23" s="205" t="n">
        <v>5</v>
      </c>
      <c r="C23" s="206" t="n">
        <v>15.01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5.5005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5.5005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18</v>
      </c>
      <c r="T23" s="217" t="n">
        <f aca="false">IF(ISERROR(R23*I23*J23),0,R23*I23*J23)</f>
        <v>18</v>
      </c>
      <c r="U23" s="217" t="n">
        <f aca="false">IF(ISERROR(R23*J23),0,R23*J23)</f>
        <v>3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0.01</v>
      </c>
      <c r="C24" s="225" t="n">
        <v>0.02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Spirogyra sp.</v>
      </c>
      <c r="E24" s="226" t="e">
        <f aca="false">IF(D24="",0,VLOOKUP(D24,D$22:D23,1,0))</f>
        <v>#N/A</v>
      </c>
      <c r="F24" s="227" t="n">
        <f aca="false">($B24*$B$7+$C24*$C$7)/100</f>
        <v>0.0105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10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Spirogyra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1147</v>
      </c>
      <c r="Q24" s="216" t="n">
        <f aca="false">IF(ISTEXT(H24),"",(B24*$B$7/100)+(C24*$C$7/100))</f>
        <v>0.0105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10</v>
      </c>
      <c r="T24" s="217" t="n">
        <f aca="false">IF(ISERROR(R24*I24*J24),0,R24*I24*J24)</f>
        <v>10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SPISPX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69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0.01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0.0005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6193</v>
      </c>
      <c r="Q25" s="216" t="n">
        <f aca="false">IF(ISTEXT(H25),"",(B25*$B$7/100)+(C25*$C$7/100))</f>
        <v>0.0005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4</v>
      </c>
      <c r="T25" s="217" t="n">
        <f aca="false">IF(ISERROR(R25*I25*J25),0,R25*I25*J25)</f>
        <v>4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VAUSPX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</v>
      </c>
      <c r="C26" s="225" t="n">
        <v>0.01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Carex sp.</v>
      </c>
      <c r="E26" s="226" t="e">
        <f aca="false">IF(D26="",0,VLOOKUP(D26,D$22:D25,1,0))</f>
        <v>#N/A</v>
      </c>
      <c r="F26" s="227" t="n">
        <f aca="false">($B26*$B$7+$C26*$C$7)/100</f>
        <v>0.0005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PHe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8</v>
      </c>
      <c r="I26" s="211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1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Carex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1466</v>
      </c>
      <c r="Q26" s="216" t="n">
        <f aca="false">IF(ISTEXT(H26),"",(B26*$B$7/100)+(C26*$C$7/100))</f>
        <v>0.0005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CARSPX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545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</v>
      </c>
      <c r="C27" s="225" t="n">
        <v>0.02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Glyceria fluitans</v>
      </c>
      <c r="E27" s="226" t="e">
        <f aca="false">IF(D27="",0,VLOOKUP(D27,D$22:D26,1,0))</f>
        <v>#N/A</v>
      </c>
      <c r="F27" s="227" t="n">
        <f aca="false">($B27*$B$7+$C27*$C$7)/100</f>
        <v>0.001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PHe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8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14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Glyceria fluitans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1564</v>
      </c>
      <c r="Q27" s="216" t="n">
        <f aca="false">IF(ISTEXT(H27),"",(B27*$B$7/100)+(C27*$C$7/100))</f>
        <v>0.001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14</v>
      </c>
      <c r="T27" s="217" t="n">
        <f aca="false">IF(ISERROR(R27*I27*J27),0,R27*I27*J27)</f>
        <v>28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GLYFLU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575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</v>
      </c>
      <c r="C28" s="225" t="n">
        <v>0.01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Lysimachia vulgaris</v>
      </c>
      <c r="E28" s="226" t="e">
        <f aca="false">IF(D28="",0,VLOOKUP(D28,D$22:D27,1,0))</f>
        <v>#N/A</v>
      </c>
      <c r="F28" s="227" t="n">
        <f aca="false">($B28*$B$7+$C28*$C$7)/100</f>
        <v>0.0005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PHe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8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Lysimachia vulgaris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1887</v>
      </c>
      <c r="Q28" s="216" t="n">
        <f aca="false">IF(ISTEXT(H28),"",(B28*$B$7/100)+(C28*$C$7/100))</f>
        <v>0.0005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LYSVUL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601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0.01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Phalaris arundinacea</v>
      </c>
      <c r="E29" s="226" t="e">
        <f aca="false">IF(D29="",0,VLOOKUP(D29,D$22:D28,1,0))</f>
        <v>#N/A</v>
      </c>
      <c r="F29" s="227" t="n">
        <f aca="false">($B29*$B$7+$C29*$C$7)/100</f>
        <v>0.0005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PHe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8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Phalaris arundinacea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1577</v>
      </c>
      <c r="Q29" s="216" t="n">
        <f aca="false">IF(ISTEXT(H29),"",(B29*$B$7/100)+(C29*$C$7/100))</f>
        <v>0.0005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10</v>
      </c>
      <c r="T29" s="217" t="n">
        <f aca="false">IF(ISERROR(R29*I29*J29),0,R29*I29*J29)</f>
        <v>10</v>
      </c>
      <c r="U29" s="229" t="n">
        <f aca="false">IF(ISERROR(R29*J29),0,R29*J29)</f>
        <v>1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PHAARU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634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0.01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Veronica anagallis-aquatica</v>
      </c>
      <c r="E30" s="226" t="e">
        <f aca="false">IF(D30="",0,VLOOKUP(D30,D$22:D29,1,0))</f>
        <v>#N/A</v>
      </c>
      <c r="F30" s="227" t="n">
        <f aca="false">($B30*$B$7+$C30*$C$7)/100</f>
        <v>0.0005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PHe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8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11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Veronica anagallis-aquatica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1955</v>
      </c>
      <c r="Q30" s="216" t="n">
        <f aca="false">IF(ISTEXT(H30),"",(B30*$B$7/100)+(C30*$C$7/100))</f>
        <v>0.0005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11</v>
      </c>
      <c r="T30" s="217" t="n">
        <f aca="false">IF(ISERROR(R30*I30*J30),0,R30*I30*J30)</f>
        <v>22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VERANA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682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Ardèche</v>
      </c>
      <c r="B84" s="259" t="str">
        <f aca="false">C3</f>
        <v>Ardèche à Vogue</v>
      </c>
      <c r="C84" s="260" t="n">
        <f aca="false">A4</f>
        <v>41802</v>
      </c>
      <c r="D84" s="261" t="n">
        <f aca="false">IF(ISERROR(SUM($T$23:$T$82)/SUM($U$23:$U$82)),"",SUM($T$23:$T$82)/SUM($U$23:$U$82))</f>
        <v>9.2</v>
      </c>
      <c r="E84" s="262" t="n">
        <f aca="false">N13</f>
        <v>8</v>
      </c>
      <c r="F84" s="259" t="n">
        <f aca="false">N14</f>
        <v>6</v>
      </c>
      <c r="G84" s="259" t="n">
        <f aca="false">N15</f>
        <v>4</v>
      </c>
      <c r="H84" s="259" t="n">
        <f aca="false">N16</f>
        <v>2</v>
      </c>
      <c r="I84" s="259" t="n">
        <f aca="false">N17</f>
        <v>0</v>
      </c>
      <c r="J84" s="263" t="n">
        <f aca="false">N8</f>
        <v>9.16666666666667</v>
      </c>
      <c r="K84" s="261" t="n">
        <f aca="false">N9</f>
        <v>3.28718048721934</v>
      </c>
      <c r="L84" s="262" t="n">
        <f aca="false">N10</f>
        <v>4</v>
      </c>
      <c r="M84" s="262" t="n">
        <f aca="false">N11</f>
        <v>14</v>
      </c>
      <c r="N84" s="261" t="n">
        <f aca="false">O8</f>
        <v>1.33333333333333</v>
      </c>
      <c r="O84" s="261" t="n">
        <f aca="false">O9</f>
        <v>0.471404520791032</v>
      </c>
      <c r="P84" s="262" t="n">
        <f aca="false">O10</f>
        <v>1</v>
      </c>
      <c r="Q84" s="262" t="n">
        <f aca="false">O11</f>
        <v>2</v>
      </c>
      <c r="R84" s="262" t="n">
        <f aca="false">F21</f>
        <v>5.5145</v>
      </c>
      <c r="S84" s="262" t="n">
        <f aca="false">K11</f>
        <v>0</v>
      </c>
      <c r="T84" s="262" t="n">
        <f aca="false">K12</f>
        <v>3</v>
      </c>
      <c r="U84" s="262" t="n">
        <f aca="false">K13</f>
        <v>0</v>
      </c>
      <c r="V84" s="264" t="n">
        <f aca="false">K14</f>
        <v>0</v>
      </c>
      <c r="W84" s="265" t="n">
        <f aca="false">K15</f>
        <v>5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86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8" t="n">
        <f aca="false">VLOOKUP(MAX($S$23:$S$82),($S$23:$U$82),1,0)</f>
        <v>18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8" t="n">
        <f aca="false">VLOOKUP((S87),($S$23:$U$82),2,0)</f>
        <v>18</v>
      </c>
      <c r="T88" s="10"/>
      <c r="U88" s="10"/>
      <c r="V88" s="10"/>
    </row>
    <row r="89" customFormat="false" ht="12.75" hidden="true" customHeight="false" outlineLevel="0" collapsed="false">
      <c r="Q89" s="10" t="s">
        <v>89</v>
      </c>
      <c r="R89" s="10"/>
      <c r="S89" s="218" t="n">
        <f aca="false">VLOOKUP((S87),($S$23:$U$82),3,0)</f>
        <v>3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68" t="n">
        <f aca="false">IF(ISERROR(SUM($T$23:$T$82)/SUM($U$23:$U$82)),"",(SUM($T$23:$T$82)-S88)/(SUM($U$23:$U$82)-S89))</f>
        <v>10.5714285714286</v>
      </c>
      <c r="T90" s="10"/>
    </row>
    <row r="91" customFormat="false" ht="12.75" hidden="false" customHeight="false" outlineLevel="0" collapsed="false">
      <c r="Q91" s="217" t="s">
        <v>91</v>
      </c>
      <c r="R91" s="217"/>
      <c r="S91" s="217" t="str">
        <f aca="false">INDEX('[2]liste reference'!$A$8:$A$904,$T$91)</f>
        <v>CLASPX</v>
      </c>
      <c r="T91" s="10" t="n">
        <f aca="false">IF(ISERROR(MATCH($S$93,'[2]liste reference'!$A$8:$A$904,0)),MATCH($S$93,'[2]liste reference'!$B$8:$B$904,0),(MATCH($S$93,'[2]liste reference'!$A$8:$A$904,0)))</f>
        <v>23</v>
      </c>
      <c r="U91" s="257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93</v>
      </c>
      <c r="R93" s="10"/>
      <c r="S93" s="217" t="str">
        <f aca="false">INDEX($A$23:$A$82,$S$92)</f>
        <v>CLASPX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2014-12-19T16:04:49Z</dcterms:created>
  <dc:creator>Laurent Bourgoin</dc:creator>
  <dc:description/>
  <dc:language>fr-FR</dc:language>
  <cp:lastModifiedBy>Laurent Bourgoin</cp:lastModifiedBy>
  <dcterms:modified xsi:type="dcterms:W3CDTF">2014-12-19T16:04:52Z</dcterms:modified>
  <cp:revision>0</cp:revision>
  <dc:subject/>
  <dc:title/>
</cp:coreProperties>
</file>