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<sst xmlns="http://schemas.openxmlformats.org/spreadsheetml/2006/main" count="107" uniqueCount="102">
  <si>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</si>
  <si>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</si>
  <si>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</si>
  <si>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CBERNARD PVAUDAUX</t>
  </si>
  <si>
    <t xml:space="preserve">conforme AFNOR T90-395 oct. 2003</t>
  </si>
  <si>
    <t xml:space="preserve">ARDECHE</t>
  </si>
  <si>
    <t xml:space="preserve">ARDECHE A VALLON PONT D'ARC</t>
  </si>
  <si>
    <t xml:space="preserve">06115090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</si>
  <si>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</si>
  <si>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</si>
  <si>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</si>
  <si>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</si>
  <si>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</si>
  <si>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</si>
  <si>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</si>
  <si>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</si>
  <si>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</si>
  <si>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</si>
  <si>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</si>
  <si>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</si>
  <si>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</si>
  <si>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</si>
  <si>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</si>
  <si>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</si>
  <si>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</si>
  <si>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</si>
  <si>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</si>
  <si>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</si>
  <si>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</si>
  <si>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</si>
  <si>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</si>
  <si>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</si>
  <si>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</si>
  <si>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</si>
  <si>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</si>
  <si>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</si>
  <si>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</si>
  <si>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</si>
  <si>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</si>
  <si>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</si>
  <si>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</si>
  <si>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</si>
  <si>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</si>
  <si>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</si>
  <si>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</si>
  <si>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</si>
  <si>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</si>
  <si>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</si>
  <si>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</si>
  <si>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</si>
  <si>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</si>
  <si>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</si>
  <si>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</si>
  <si>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</si>
  <si>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</si>
  <si>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</si>
  <si>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</si>
  <si>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</si>
  <si>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</si>
  <si>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</si>
  <si>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</si>
  <si>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</si>
  <si>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</si>
  <si>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</si>
  <si>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</si>
  <si>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</si>
  <si>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</si>
  <si>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</si>
  <si>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</si>
  <si>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</si>
  <si>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</si>
  <si>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</si>
  <si>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</si>
  <si>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</si>
  <si>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</si>
  <si>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</si>
  <si>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</si>
  <si>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</si>
  <si>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</si>
  <si>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</si>
  <si>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OEDSPX</t>
  </si>
  <si>
    <t xml:space="preserve">SPISPX</t>
  </si>
  <si>
    <t xml:space="preserve">ULOSPX</t>
  </si>
  <si>
    <t xml:space="preserve">CINDAN</t>
  </si>
  <si>
    <t xml:space="preserve">CINRIP</t>
  </si>
  <si>
    <t xml:space="preserve">MYRSPI</t>
  </si>
  <si>
    <t xml:space="preserve">POTCRI</t>
  </si>
  <si>
    <t xml:space="preserve">RANPES</t>
  </si>
  <si>
    <t xml:space="preserve">GLYFLU</t>
  </si>
  <si>
    <t xml:space="preserve">PHAARU</t>
  </si>
  <si>
    <t xml:space="preserve">VERANA</t>
  </si>
  <si>
    <t xml:space="preserve">newcod</t>
  </si>
  <si>
    <t xml:space="preserve">Leptolyngbia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</si>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</sst>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00CCFF"/>
        <bgColor rgb="FF33CCCC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2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3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4" fillId="1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2" fillId="1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2" fillId="7" borderId="6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32" fillId="7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3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3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95760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RVAL_11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41801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10.9189189189189</v>
      </c>
      <c r="M5" s="53"/>
      <c r="N5" s="54" t="s">
        <v>16</v>
      </c>
      <c r="O5" s="55" t="n">
        <v>10.5161290322581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10.3571428571429</v>
      </c>
      <c r="O8" s="84" t="n">
        <f aca="false">IF(ISERROR(AVERAGE(J23:J82)),"      -",AVERAGE(J23:J82))</f>
        <v>1.78571428571429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12.58</v>
      </c>
      <c r="C9" s="87" t="n">
        <v>14.27</v>
      </c>
      <c r="D9" s="88"/>
      <c r="E9" s="88"/>
      <c r="F9" s="89" t="n">
        <f aca="false">($B9*$B$7+$C9*$C$7)/100</f>
        <v>12.918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2.60787660907553</v>
      </c>
      <c r="O9" s="84" t="n">
        <f aca="false">IF(ISERROR(STDEVP(J23:J82)),"      -",STDEVP(J23:J82))</f>
        <v>0.557874976850475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14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12.31</v>
      </c>
      <c r="C12" s="119" t="n">
        <v>14.2</v>
      </c>
      <c r="D12" s="111"/>
      <c r="E12" s="111"/>
      <c r="F12" s="112" t="n">
        <f aca="false">($B12*$B$7+$C12*$C$7)/100</f>
        <v>12.688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0.25</v>
      </c>
      <c r="C13" s="119" t="n">
        <v>0.01</v>
      </c>
      <c r="D13" s="111"/>
      <c r="E13" s="111"/>
      <c r="F13" s="112" t="n">
        <f aca="false">($B13*$B$7+$C13*$C$7)/100</f>
        <v>0.202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15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0.02</v>
      </c>
      <c r="C15" s="136" t="n">
        <v>0.06</v>
      </c>
      <c r="D15" s="111"/>
      <c r="E15" s="111"/>
      <c r="F15" s="112" t="n">
        <f aca="false">($B15*$B$7+$C15*$C$7)/100</f>
        <v>0.028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6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 t="n">
        <v>0.01</v>
      </c>
      <c r="D16" s="140"/>
      <c r="E16" s="140"/>
      <c r="F16" s="141"/>
      <c r="G16" s="141" t="n">
        <f aca="false">($B16*$B$7+$C16*$C$7)/100</f>
        <v>0.002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9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12.58</v>
      </c>
      <c r="C17" s="119" t="n">
        <v>14.24</v>
      </c>
      <c r="D17" s="111"/>
      <c r="E17" s="111"/>
      <c r="F17" s="143"/>
      <c r="G17" s="112" t="n">
        <f aca="false">($B17*$B$7+$C17*$C$7)/100</f>
        <v>12.912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12.918</v>
      </c>
      <c r="G19" s="156" t="n">
        <f aca="false">SUM(G16:G18)</f>
        <v>12.918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12.58</v>
      </c>
      <c r="C20" s="166" t="n">
        <f aca="false">SUM(C23:C82)</f>
        <v>14.27</v>
      </c>
      <c r="D20" s="167"/>
      <c r="E20" s="168" t="s">
        <v>54</v>
      </c>
      <c r="F20" s="169" t="n">
        <f aca="false">($B20*$B$7+$C20*$C$7)/100</f>
        <v>12.918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10.064</v>
      </c>
      <c r="C21" s="179" t="n">
        <f aca="false">C20*C7/100</f>
        <v>2.854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12.918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5" hidden="false" customHeight="false" outlineLevel="0" collapsed="false">
      <c r="A23" s="204" t="s">
        <v>78</v>
      </c>
      <c r="B23" s="205" t="n">
        <v>8.55</v>
      </c>
      <c r="C23" s="205" t="n">
        <v>2.02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7.244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7.244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18</v>
      </c>
      <c r="T23" s="216" t="n">
        <f aca="false">IF(ISERROR(R23*I23*J23),0,R23*I23*J23)</f>
        <v>18</v>
      </c>
      <c r="U23" s="216" t="n">
        <f aca="false">IF(ISERROR(R23*J23),0,R23*J23)</f>
        <v>3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false" outlineLevel="0" collapsed="false">
      <c r="A24" s="204" t="s">
        <v>79</v>
      </c>
      <c r="B24" s="205" t="n">
        <v>0.5</v>
      </c>
      <c r="C24" s="205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Diatoma sp.</v>
      </c>
      <c r="E24" s="222" t="e">
        <f aca="false">IF(D24="",0,VLOOKUP(D24,D$22:D23,1,0))</f>
        <v>#N/A</v>
      </c>
      <c r="F24" s="223" t="n">
        <f aca="false">($B24*$B$7+$C24*$C$7)/100</f>
        <v>0.4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Diatoma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6627</v>
      </c>
      <c r="Q24" s="215" t="n">
        <f aca="false">IF(ISTEXT(H24),"",(B24*$B$7/100)+(C24*$C$7/100))</f>
        <v>0.4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24</v>
      </c>
      <c r="T24" s="216" t="n">
        <f aca="false">IF(ISERROR(R24*I24*J24),0,R24*I24*J24)</f>
        <v>48</v>
      </c>
      <c r="U24" s="225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DIASPX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26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false" outlineLevel="0" collapsed="false">
      <c r="A25" s="204" t="s">
        <v>80</v>
      </c>
      <c r="B25" s="205" t="n">
        <v>0</v>
      </c>
      <c r="C25" s="205" t="n">
        <v>0.01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Oedogonium sp.</v>
      </c>
      <c r="E25" s="222" t="e">
        <f aca="false">IF(D25="",0,VLOOKUP(D25,D$22:D24,1,0))</f>
        <v>#N/A</v>
      </c>
      <c r="F25" s="223" t="n">
        <f aca="false">($B25*$B$7+$C25*$C$7)/100</f>
        <v>0.002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Oedogonium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1134</v>
      </c>
      <c r="Q25" s="215" t="n">
        <f aca="false">IF(ISTEXT(H25),"",(B25*$B$7/100)+(C25*$C$7/100))</f>
        <v>0.002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6</v>
      </c>
      <c r="T25" s="216" t="n">
        <f aca="false">IF(ISERROR(R25*I25*J25),0,R25*I25*J25)</f>
        <v>12</v>
      </c>
      <c r="U25" s="225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OEDSPX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55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false" outlineLevel="0" collapsed="false">
      <c r="A26" s="204" t="s">
        <v>16</v>
      </c>
      <c r="B26" s="205" t="n">
        <v>1.01</v>
      </c>
      <c r="C26" s="205" t="n">
        <v>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2" t="e">
        <f aca="false">IF(D26="",0,VLOOKUP(D26,D$22:D25,1,0))</f>
        <v>#N/A</v>
      </c>
      <c r="F26" s="223" t="n">
        <f aca="false">($B26*$B$7+$C26*$C$7)/100</f>
        <v>1.008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5" t="n">
        <f aca="false">IF(ISTEXT(H26),"",(B26*$B$7/100)+(C26*$C$7/100))</f>
        <v>1.008</v>
      </c>
      <c r="R26" s="216" t="n">
        <f aca="false">IF(OR(ISTEXT(H26),Q26=0),"",IF(Q26&lt;0.1,1,IF(Q26&lt;1,2,IF(Q26&lt;10,3,IF(Q26&lt;50,4,IF(Q26&gt;=50,5,""))))))</f>
        <v>3</v>
      </c>
      <c r="S26" s="216" t="n">
        <f aca="false">IF(ISERROR(R26*I26),0,R26*I26)</f>
        <v>39</v>
      </c>
      <c r="T26" s="216" t="n">
        <f aca="false">IF(ISERROR(R26*I26*J26),0,R26*I26*J26)</f>
        <v>78</v>
      </c>
      <c r="U26" s="225" t="n">
        <f aca="false">IF(ISERROR(R26*J26),0,R26*J26)</f>
        <v>6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false" outlineLevel="0" collapsed="false">
      <c r="A27" s="204" t="s">
        <v>81</v>
      </c>
      <c r="B27" s="205" t="n">
        <v>0</v>
      </c>
      <c r="C27" s="205" t="n">
        <v>2.16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2" t="e">
        <f aca="false">IF(D27="",0,VLOOKUP(D27,D$22:D26,1,0))</f>
        <v>#N/A</v>
      </c>
      <c r="F27" s="223" t="n">
        <f aca="false">($B27*$B$7+$C27*$C$7)/100</f>
        <v>0.432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5" t="n">
        <f aca="false">IF(ISTEXT(H27),"",(B27*$B$7/100)+(C27*$C$7/100))</f>
        <v>0.432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20</v>
      </c>
      <c r="T27" s="216" t="n">
        <f aca="false">IF(ISERROR(R27*I27*J27),0,R27*I27*J27)</f>
        <v>20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26"/>
      <c r="Y27" s="219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false" outlineLevel="0" collapsed="false">
      <c r="A28" s="204" t="s">
        <v>82</v>
      </c>
      <c r="B28" s="205" t="n">
        <v>0</v>
      </c>
      <c r="C28" s="205" t="n">
        <v>0.01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Ulothrix sp.</v>
      </c>
      <c r="E28" s="222" t="e">
        <f aca="false">IF(D28="",0,VLOOKUP(D28,D$22:D27,1,0))</f>
        <v>#N/A</v>
      </c>
      <c r="F28" s="223" t="n">
        <f aca="false">($B28*$B$7+$C28*$C$7)/100</f>
        <v>0.002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Ulothrix sp.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1142</v>
      </c>
      <c r="Q28" s="215" t="n">
        <f aca="false">IF(ISTEXT(H28),"",(B28*$B$7/100)+(C28*$C$7/100))</f>
        <v>0.002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5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ULOSPX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81</v>
      </c>
      <c r="AA28" s="220"/>
      <c r="AB28" s="221"/>
      <c r="AC28" s="221"/>
      <c r="BB28" s="10" t="n">
        <f aca="false">IF(A28="","",1)</f>
        <v>1</v>
      </c>
    </row>
    <row r="29" customFormat="false" ht="15" hidden="false" customHeight="false" outlineLevel="0" collapsed="false">
      <c r="A29" s="227" t="s">
        <v>83</v>
      </c>
      <c r="B29" s="205" t="n">
        <v>0.2</v>
      </c>
      <c r="C29" s="205" t="n">
        <v>0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Cinclidotus danubicus</v>
      </c>
      <c r="E29" s="222" t="e">
        <f aca="false">IF(D29="",0,VLOOKUP(D29,D$22:D28,1,0))</f>
        <v>#N/A</v>
      </c>
      <c r="F29" s="223" t="n">
        <f aca="false">($B29*$B$7+$C29*$C$7)/100</f>
        <v>0.16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13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Cinclidotus danubicus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1319</v>
      </c>
      <c r="Q29" s="215" t="n">
        <f aca="false">IF(ISTEXT(H29),"",(B29*$B$7/100)+(C29*$C$7/100))</f>
        <v>0.16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26</v>
      </c>
      <c r="T29" s="216" t="n">
        <f aca="false">IF(ISERROR(R29*I29*J29),0,R29*I29*J29)</f>
        <v>78</v>
      </c>
      <c r="U29" s="225" t="n">
        <f aca="false">IF(ISERROR(R29*J29),0,R29*J29)</f>
        <v>6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CINDAN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171</v>
      </c>
      <c r="AA29" s="220"/>
      <c r="AB29" s="221"/>
      <c r="AC29" s="221"/>
      <c r="BB29" s="10" t="n">
        <f aca="false">IF(A29="","",1)</f>
        <v>1</v>
      </c>
    </row>
    <row r="30" customFormat="false" ht="15" hidden="false" customHeight="false" outlineLevel="0" collapsed="false">
      <c r="A30" s="227" t="s">
        <v>84</v>
      </c>
      <c r="B30" s="205" t="n">
        <v>0.05</v>
      </c>
      <c r="C30" s="205" t="n">
        <v>0.01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Cinclidotus riparius</v>
      </c>
      <c r="E30" s="222" t="e">
        <f aca="false">IF(D30="",0,VLOOKUP(D30,D$22:D29,1,0))</f>
        <v>#N/A</v>
      </c>
      <c r="F30" s="223" t="n">
        <f aca="false">($B30*$B$7+$C30*$C$7)/100</f>
        <v>0.042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13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Cinclidotus riparius</v>
      </c>
      <c r="L30" s="224"/>
      <c r="M30" s="224"/>
      <c r="N30" s="224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1321</v>
      </c>
      <c r="Q30" s="215" t="n">
        <f aca="false">IF(ISTEXT(H30),"",(B30*$B$7/100)+(C30*$C$7/100))</f>
        <v>0.042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13</v>
      </c>
      <c r="T30" s="216" t="n">
        <f aca="false">IF(ISERROR(R30*I30*J30),0,R30*I30*J30)</f>
        <v>26</v>
      </c>
      <c r="U30" s="225" t="n">
        <f aca="false">IF(ISERROR(R30*J30),0,R30*J30)</f>
        <v>2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CINRIP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174</v>
      </c>
      <c r="AA30" s="220"/>
      <c r="AB30" s="221"/>
      <c r="AC30" s="221"/>
      <c r="BB30" s="10" t="n">
        <f aca="false">IF(A30="","",1)</f>
        <v>1</v>
      </c>
    </row>
    <row r="31" customFormat="false" ht="15" hidden="false" customHeight="false" outlineLevel="0" collapsed="false">
      <c r="A31" s="228" t="s">
        <v>85</v>
      </c>
      <c r="B31" s="205" t="n">
        <v>0</v>
      </c>
      <c r="C31" s="205" t="n">
        <v>0.01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Myriophyllum spicatum</v>
      </c>
      <c r="E31" s="222" t="e">
        <f aca="false">IF(D31="",0,VLOOKUP(D31,D$22:D30,1,0))</f>
        <v>#N/A</v>
      </c>
      <c r="F31" s="223" t="n">
        <f aca="false">($B31*$B$7+$C31*$C$7)/100</f>
        <v>0.002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PHy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7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8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Myriophyllum spicatum</v>
      </c>
      <c r="L31" s="224"/>
      <c r="M31" s="224"/>
      <c r="N31" s="224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1778</v>
      </c>
      <c r="Q31" s="215" t="n">
        <f aca="false">IF(ISTEXT(H31),"",(B31*$B$7/100)+(C31*$C$7/100))</f>
        <v>0.002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8</v>
      </c>
      <c r="T31" s="216" t="n">
        <f aca="false">IF(ISERROR(R31*I31*J31),0,R31*I31*J31)</f>
        <v>16</v>
      </c>
      <c r="U31" s="225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MYRSPI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373</v>
      </c>
      <c r="AA31" s="220"/>
      <c r="AB31" s="221"/>
      <c r="AC31" s="221"/>
      <c r="BB31" s="10" t="n">
        <f aca="false">IF(A31="","",1)</f>
        <v>1</v>
      </c>
    </row>
    <row r="32" customFormat="false" ht="15" hidden="false" customHeight="false" outlineLevel="0" collapsed="false">
      <c r="A32" s="228" t="s">
        <v>86</v>
      </c>
      <c r="B32" s="205" t="n">
        <v>0</v>
      </c>
      <c r="C32" s="205" t="n">
        <v>0.01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Potamogeton crispus</v>
      </c>
      <c r="E32" s="222" t="e">
        <f aca="false">IF(D32="",0,VLOOKUP(D32,D$22:D31,1,0))</f>
        <v>#N/A</v>
      </c>
      <c r="F32" s="223" t="n">
        <f aca="false">($B32*$B$7+$C32*$C$7)/100</f>
        <v>0.002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PHy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7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7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Potamogeton crispus</v>
      </c>
      <c r="L32" s="224"/>
      <c r="M32" s="224"/>
      <c r="N32" s="224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1645</v>
      </c>
      <c r="Q32" s="215" t="n">
        <f aca="false">IF(ISTEXT(H32),"",(B32*$B$7/100)+(C32*$C$7/100))</f>
        <v>0.002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7</v>
      </c>
      <c r="T32" s="216" t="n">
        <f aca="false">IF(ISERROR(R32*I32*J32),0,R32*I32*J32)</f>
        <v>14</v>
      </c>
      <c r="U32" s="225" t="n">
        <f aca="false">IF(ISERROR(R32*J32),0,R32*J32)</f>
        <v>2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POTCRI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409</v>
      </c>
      <c r="AA32" s="220"/>
      <c r="AB32" s="221"/>
      <c r="AC32" s="221"/>
      <c r="BB32" s="10" t="n">
        <f aca="false">IF(A32="","",1)</f>
        <v>1</v>
      </c>
    </row>
    <row r="33" customFormat="false" ht="15" hidden="false" customHeight="false" outlineLevel="0" collapsed="false">
      <c r="A33" s="228" t="s">
        <v>87</v>
      </c>
      <c r="B33" s="205" t="n">
        <v>0.02</v>
      </c>
      <c r="C33" s="205" t="n">
        <v>0.01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Ranunculus penicillatus subsp. pseudofluitans</v>
      </c>
      <c r="E33" s="222" t="e">
        <f aca="false">IF(D33="",0,VLOOKUP(D33,D$22:D32,1,0))</f>
        <v>#N/A</v>
      </c>
      <c r="F33" s="223" t="n">
        <f aca="false">($B33*$B$7+$C33*$C$7)/100</f>
        <v>0.018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PHy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7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12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2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Ranunculus penicillatus subsp. pseudofluitans</v>
      </c>
      <c r="L33" s="224"/>
      <c r="M33" s="224"/>
      <c r="N33" s="224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19974</v>
      </c>
      <c r="Q33" s="215" t="n">
        <f aca="false">IF(ISTEXT(H33),"",(B33*$B$7/100)+(C33*$C$7/100))</f>
        <v>0.018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12</v>
      </c>
      <c r="T33" s="216" t="n">
        <f aca="false">IF(ISERROR(R33*I33*J33),0,R33*I33*J33)</f>
        <v>24</v>
      </c>
      <c r="U33" s="225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RANPES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464</v>
      </c>
      <c r="AA33" s="220"/>
      <c r="AB33" s="221"/>
      <c r="AC33" s="221"/>
      <c r="BB33" s="10" t="n">
        <f aca="false">IF(A33="","",1)</f>
        <v>1</v>
      </c>
    </row>
    <row r="34" customFormat="false" ht="15" hidden="false" customHeight="false" outlineLevel="0" collapsed="false">
      <c r="A34" s="229" t="s">
        <v>88</v>
      </c>
      <c r="B34" s="230" t="n">
        <v>0</v>
      </c>
      <c r="C34" s="205" t="n">
        <v>0.01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Glyceria fluitans</v>
      </c>
      <c r="E34" s="222" t="e">
        <f aca="false">IF(D34="",0,VLOOKUP(D34,D$22:D33,1,0))</f>
        <v>#N/A</v>
      </c>
      <c r="F34" s="231" t="n">
        <f aca="false">($B34*$B$7+$C34*$C$7)/100</f>
        <v>0.002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PHe</v>
      </c>
      <c r="H34" s="209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8</v>
      </c>
      <c r="I34" s="210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14</v>
      </c>
      <c r="J34" s="210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2</v>
      </c>
      <c r="K34" s="211" t="str">
        <f aca="false">IF(A34="NEWCOD",IF(AB37="","Remplir le champs 'Nouveau taxa' svp.",$AB37),IF(ISTEXT($E34),"DEJA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Glyceria fluitans</v>
      </c>
      <c r="L34" s="224"/>
      <c r="M34" s="224"/>
      <c r="N34" s="224"/>
      <c r="O34" s="213"/>
      <c r="P34" s="214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1564</v>
      </c>
      <c r="Q34" s="215" t="n">
        <f aca="false">IF(ISTEXT(H34),"",(B34*$B$7/100)+(C34*$C$7/100))</f>
        <v>0.002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14</v>
      </c>
      <c r="T34" s="216" t="n">
        <f aca="false">IF(ISERROR(R34*I34*J34),0,R34*I34*J34)</f>
        <v>28</v>
      </c>
      <c r="U34" s="225" t="n">
        <f aca="false">IF(ISERROR(R34*J34),0,R34*J34)</f>
        <v>2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GLYFLU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575</v>
      </c>
      <c r="AA34" s="220"/>
      <c r="AB34" s="232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33" t="s">
        <v>89</v>
      </c>
      <c r="B35" s="234" t="n">
        <v>0</v>
      </c>
      <c r="C35" s="235" t="n">
        <v>0.01</v>
      </c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Phalaris arundinacea</v>
      </c>
      <c r="E35" s="222" t="e">
        <f aca="false">IF(D35="",0,VLOOKUP(D35,D$22:D34,1,0))</f>
        <v>#N/A</v>
      </c>
      <c r="F35" s="231" t="n">
        <f aca="false">($B35*$B$7+$C35*$C$7)/100</f>
        <v>0.002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PHe</v>
      </c>
      <c r="H35" s="209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8</v>
      </c>
      <c r="I35" s="210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10</v>
      </c>
      <c r="J35" s="210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1</v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Phalaris arundinacea</v>
      </c>
      <c r="L35" s="224"/>
      <c r="M35" s="224"/>
      <c r="N35" s="224"/>
      <c r="O35" s="213"/>
      <c r="P35" s="214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1577</v>
      </c>
      <c r="Q35" s="215" t="n">
        <f aca="false">IF(ISTEXT(H35),"",(B35*$B$7/100)+(C35*$C$7/100))</f>
        <v>0.002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10</v>
      </c>
      <c r="T35" s="216" t="n">
        <f aca="false">IF(ISERROR(R35*I35*J35),0,R35*I35*J35)</f>
        <v>10</v>
      </c>
      <c r="U35" s="225" t="n">
        <f aca="false">IF(ISERROR(R35*J35),0,R35*J35)</f>
        <v>1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>PHAARU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634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33" t="s">
        <v>90</v>
      </c>
      <c r="B36" s="234" t="n">
        <v>0</v>
      </c>
      <c r="C36" s="235" t="n">
        <v>0.01</v>
      </c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Veronica anagallis-aquatica</v>
      </c>
      <c r="E36" s="222" t="e">
        <f aca="false">IF(D36="",0,VLOOKUP(D36,D$22:D35,1,0))</f>
        <v>#N/A</v>
      </c>
      <c r="F36" s="231" t="n">
        <f aca="false">($B36*$B$7+$C36*$C$7)/100</f>
        <v>0.002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PHe</v>
      </c>
      <c r="H36" s="209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8</v>
      </c>
      <c r="I36" s="210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11</v>
      </c>
      <c r="J36" s="210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2</v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Veronica anagallis-aquatica</v>
      </c>
      <c r="L36" s="224"/>
      <c r="M36" s="224"/>
      <c r="N36" s="224"/>
      <c r="O36" s="213"/>
      <c r="P36" s="214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1955</v>
      </c>
      <c r="Q36" s="215" t="n">
        <f aca="false">IF(ISTEXT(H36),"",(B36*$B$7/100)+(C36*$C$7/100))</f>
        <v>0.002</v>
      </c>
      <c r="R36" s="216" t="n">
        <f aca="false">IF(OR(ISTEXT(H36),Q36=0),"",IF(Q36&lt;0.1,1,IF(Q36&lt;1,2,IF(Q36&lt;10,3,IF(Q36&lt;50,4,IF(Q36&gt;=50,5,""))))))</f>
        <v>1</v>
      </c>
      <c r="S36" s="216" t="n">
        <f aca="false">IF(ISERROR(R36*I36),0,R36*I36)</f>
        <v>11</v>
      </c>
      <c r="T36" s="216" t="n">
        <f aca="false">IF(ISERROR(R36*I36*J36),0,R36*I36*J36)</f>
        <v>22</v>
      </c>
      <c r="U36" s="225" t="n">
        <f aca="false">IF(ISERROR(R36*J36),0,R36*J36)</f>
        <v>2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>VERANA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682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33" t="s">
        <v>91</v>
      </c>
      <c r="B37" s="234" t="n">
        <v>2.25</v>
      </c>
      <c r="C37" s="235" t="n">
        <v>9</v>
      </c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2" t="n">
        <f aca="false">IF(D37="",0,VLOOKUP(D37,D$22:D36,1,0))</f>
        <v>0</v>
      </c>
      <c r="F37" s="231" t="n">
        <f aca="false">($B37*$B$7+$C37*$C$7)/100</f>
        <v>3.6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    -</v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Leptolyngbia sp.</v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No</v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>newcod</v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 t="s">
        <v>92</v>
      </c>
      <c r="AC37" s="221"/>
      <c r="BB37" s="10" t="n">
        <f aca="false">IF(A37="","",1)</f>
        <v>1</v>
      </c>
    </row>
    <row r="38" customFormat="false" ht="12.75" hidden="false" customHeight="false" outlineLevel="0" collapsed="false">
      <c r="A38" s="233"/>
      <c r="B38" s="234"/>
      <c r="C38" s="235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2" t="n">
        <f aca="false">IF(D38="",0,VLOOKUP(D38,D$22:D37,1,0))</f>
        <v>0</v>
      </c>
      <c r="F38" s="231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IF(A38="NEWCOD",IF(#REF!="","Remplir le champs 'Nouveau taxa' svp.",#REF!),IF(ISTEXT($E38),"DEJA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33"/>
      <c r="B39" s="234"/>
      <c r="C39" s="235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2" t="n">
        <f aca="false">IF(D39="",0,VLOOKUP(D39,D$22:D38,1,0))</f>
        <v>0</v>
      </c>
      <c r="F39" s="231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33"/>
      <c r="B40" s="234"/>
      <c r="C40" s="235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2" t="n">
        <f aca="false">IF(D40="",0,VLOOKUP(D40,D$22:D39,1,0))</f>
        <v>0</v>
      </c>
      <c r="F40" s="231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33"/>
      <c r="B41" s="234"/>
      <c r="C41" s="235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2" t="n">
        <f aca="false">IF(D41="",0,VLOOKUP(D41,D$22:D40,1,0))</f>
        <v>0</v>
      </c>
      <c r="F41" s="231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33"/>
      <c r="B42" s="234"/>
      <c r="C42" s="235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2" t="n">
        <f aca="false">IF(D42="",0,VLOOKUP(D42,D$22:D41,1,0))</f>
        <v>0</v>
      </c>
      <c r="F42" s="231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33"/>
      <c r="B43" s="234"/>
      <c r="C43" s="235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2" t="n">
        <f aca="false">IF(D43="",0,VLOOKUP(D43,D$22:D42,1,0))</f>
        <v>0</v>
      </c>
      <c r="F43" s="231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33"/>
      <c r="B44" s="234"/>
      <c r="C44" s="235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2" t="n">
        <f aca="false">IF(D44="",0,VLOOKUP(D44,D$22:D43,1,0))</f>
        <v>0</v>
      </c>
      <c r="F44" s="231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33"/>
      <c r="B45" s="234"/>
      <c r="C45" s="235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2" t="n">
        <f aca="false">IF(D45="",0,VLOOKUP(D45,D$22:D44,1,0))</f>
        <v>0</v>
      </c>
      <c r="F45" s="231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33"/>
      <c r="B46" s="234"/>
      <c r="C46" s="235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2" t="n">
        <f aca="false">IF(D46="",0,VLOOKUP(D46,D$22:D39,1,0))</f>
        <v>0</v>
      </c>
      <c r="F46" s="231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33"/>
      <c r="B47" s="234"/>
      <c r="C47" s="235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2" t="n">
        <f aca="false">IF(D47="",0,VLOOKUP(D47,D$22:D39,1,0))</f>
        <v>0</v>
      </c>
      <c r="F47" s="231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33"/>
      <c r="B48" s="234"/>
      <c r="C48" s="235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2" t="n">
        <f aca="false">IF(D48="",0,VLOOKUP(D48,D$22:D40,1,0))</f>
        <v>0</v>
      </c>
      <c r="F48" s="231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33"/>
      <c r="B49" s="234"/>
      <c r="C49" s="235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2" t="n">
        <f aca="false">IF(D49="",0,VLOOKUP(D49,D$22:D48,1,0))</f>
        <v>0</v>
      </c>
      <c r="F49" s="231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33"/>
      <c r="B50" s="234"/>
      <c r="C50" s="235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2" t="n">
        <f aca="false">IF(D50="",0,VLOOKUP(D50,D$22:D49,1,0))</f>
        <v>0</v>
      </c>
      <c r="F50" s="231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33"/>
      <c r="B51" s="234"/>
      <c r="C51" s="235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2" t="n">
        <f aca="false">IF(D51="",0,VLOOKUP(D51,D$22:D50,1,0))</f>
        <v>0</v>
      </c>
      <c r="F51" s="231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33"/>
      <c r="B52" s="234"/>
      <c r="C52" s="235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2" t="n">
        <f aca="false">IF(D52="",0,VLOOKUP(D52,D$22:D51,1,0))</f>
        <v>0</v>
      </c>
      <c r="F52" s="231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33"/>
      <c r="B53" s="234"/>
      <c r="C53" s="235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2" t="n">
        <f aca="false">IF(D53="",0,VLOOKUP(D53,D$22:D52,1,0))</f>
        <v>0</v>
      </c>
      <c r="F53" s="231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33"/>
      <c r="B54" s="234"/>
      <c r="C54" s="235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2" t="n">
        <f aca="false">IF(D54="",0,VLOOKUP(D54,D$22:D53,1,0))</f>
        <v>0</v>
      </c>
      <c r="F54" s="231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33"/>
      <c r="B55" s="234"/>
      <c r="C55" s="235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2" t="n">
        <f aca="false">IF(D55="",0,VLOOKUP(D55,D$22:D54,1,0))</f>
        <v>0</v>
      </c>
      <c r="F55" s="231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33"/>
      <c r="B56" s="234"/>
      <c r="C56" s="235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2" t="n">
        <f aca="false">IF(D56="",0,VLOOKUP(D56,D$22:D55,1,0))</f>
        <v>0</v>
      </c>
      <c r="F56" s="231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33"/>
      <c r="B57" s="234"/>
      <c r="C57" s="235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2" t="n">
        <f aca="false">IF(D57="",0,VLOOKUP(D57,D$21:D56,1,0))</f>
        <v>0</v>
      </c>
      <c r="F57" s="231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6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33"/>
      <c r="B58" s="234"/>
      <c r="C58" s="235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2" t="n">
        <f aca="false">IF(D58="",0,VLOOKUP(D58,D$22:D57,1,0))</f>
        <v>0</v>
      </c>
      <c r="F58" s="231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33"/>
      <c r="B59" s="234"/>
      <c r="C59" s="235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2" t="n">
        <f aca="false">IF(D59="",0,VLOOKUP(D59,D$22:D58,1,0))</f>
        <v>0</v>
      </c>
      <c r="F59" s="231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7"/>
      <c r="M59" s="237"/>
      <c r="N59" s="237"/>
      <c r="O59" s="213"/>
      <c r="P59" s="238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33"/>
      <c r="B60" s="234"/>
      <c r="C60" s="235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2" t="n">
        <f aca="false">IF(D60="",0,VLOOKUP(D60,D$22:D59,1,0))</f>
        <v>0</v>
      </c>
      <c r="F60" s="231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7"/>
      <c r="M60" s="237"/>
      <c r="N60" s="237"/>
      <c r="O60" s="213"/>
      <c r="P60" s="238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33"/>
      <c r="B61" s="234"/>
      <c r="C61" s="235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2" t="n">
        <f aca="false">IF(D61="",0,VLOOKUP(D61,D$22:D60,1,0))</f>
        <v>0</v>
      </c>
      <c r="F61" s="231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33"/>
      <c r="B62" s="234"/>
      <c r="C62" s="235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2" t="n">
        <f aca="false">IF(D62="",0,VLOOKUP(D62,D$22:D61,1,0))</f>
        <v>0</v>
      </c>
      <c r="F62" s="231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33"/>
      <c r="B63" s="234"/>
      <c r="C63" s="235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2" t="n">
        <f aca="false">IF(D63="",0,VLOOKUP(D63,D$22:D62,1,0))</f>
        <v>0</v>
      </c>
      <c r="F63" s="231" t="n">
        <f aca="false">($B63*$B$7+$C63*$C$7)/100</f>
        <v>0</v>
      </c>
      <c r="G63" s="239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40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33"/>
      <c r="B64" s="234"/>
      <c r="C64" s="235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2" t="n">
        <f aca="false">IF(D64="",0,VLOOKUP(D64,D$22:D52,1,0))</f>
        <v>0</v>
      </c>
      <c r="F64" s="231" t="n">
        <f aca="false">($B64*$B$7+$C64*$C$7)/100</f>
        <v>0</v>
      </c>
      <c r="G64" s="241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42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33"/>
      <c r="B65" s="234"/>
      <c r="C65" s="235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2" t="n">
        <f aca="false">IF(D65="",0,VLOOKUP(D65,D$22:D53,1,0))</f>
        <v>0</v>
      </c>
      <c r="F65" s="231" t="n">
        <f aca="false">($B65*$B$7+$C65*$C$7)/100</f>
        <v>0</v>
      </c>
      <c r="G65" s="241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42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33"/>
      <c r="B66" s="234"/>
      <c r="C66" s="235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2" t="n">
        <f aca="false">IF(D66="",0,VLOOKUP(D66,D$22:D51,1,0))</f>
        <v>0</v>
      </c>
      <c r="F66" s="231" t="n">
        <f aca="false">($B66*$B$7+$C66*$C$7)/100</f>
        <v>0</v>
      </c>
      <c r="G66" s="241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42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33"/>
      <c r="B67" s="234"/>
      <c r="C67" s="235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2" t="n">
        <f aca="false">IF(D67="",0,VLOOKUP(D67,D$22:D52,1,0))</f>
        <v>0</v>
      </c>
      <c r="F67" s="231" t="n">
        <f aca="false">($B67*$B$7+$C67*$C$7)/100</f>
        <v>0</v>
      </c>
      <c r="G67" s="241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42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33"/>
      <c r="B68" s="234"/>
      <c r="C68" s="235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2" t="n">
        <f aca="false">IF(D68="",0,VLOOKUP(D68,D$22:D53,1,0))</f>
        <v>0</v>
      </c>
      <c r="F68" s="231" t="n">
        <f aca="false">($B68*$B$7+$C68*$C$7)/100</f>
        <v>0</v>
      </c>
      <c r="G68" s="241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42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33"/>
      <c r="B69" s="234"/>
      <c r="C69" s="235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2" t="n">
        <f aca="false">IF(D69="",0,VLOOKUP(D69,D$22:D54,1,0))</f>
        <v>0</v>
      </c>
      <c r="F69" s="231" t="n">
        <f aca="false">($B69*$B$7+$C69*$C$7)/100</f>
        <v>0</v>
      </c>
      <c r="G69" s="241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42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33"/>
      <c r="B70" s="234"/>
      <c r="C70" s="235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2" t="n">
        <f aca="false">IF(D70="",0,VLOOKUP(D70,D$22:D55,1,0))</f>
        <v>0</v>
      </c>
      <c r="F70" s="231" t="n">
        <f aca="false">($B70*$B$7+$C70*$C$7)/100</f>
        <v>0</v>
      </c>
      <c r="G70" s="241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42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33"/>
      <c r="B71" s="234"/>
      <c r="C71" s="235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2" t="n">
        <f aca="false">IF(D71="",0,VLOOKUP(D71,D$22:D56,1,0))</f>
        <v>0</v>
      </c>
      <c r="F71" s="231" t="n">
        <f aca="false">($B71*$B$7+$C71*$C$7)/100</f>
        <v>0</v>
      </c>
      <c r="G71" s="241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42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33"/>
      <c r="B72" s="234"/>
      <c r="C72" s="235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2" t="n">
        <f aca="false">IF(D72="",0,VLOOKUP(D72,D$22:D57,1,0))</f>
        <v>0</v>
      </c>
      <c r="F72" s="231" t="n">
        <f aca="false">($B72*$B$7+$C72*$C$7)/100</f>
        <v>0</v>
      </c>
      <c r="G72" s="241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42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33"/>
      <c r="B73" s="234"/>
      <c r="C73" s="235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2" t="n">
        <f aca="false">IF(D73="",0,VLOOKUP(D73,D$22:D57,1,0))</f>
        <v>0</v>
      </c>
      <c r="F73" s="231" t="n">
        <f aca="false">($B73*$B$7+$C73*$C$7)/100</f>
        <v>0</v>
      </c>
      <c r="G73" s="241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42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33"/>
      <c r="B74" s="234"/>
      <c r="C74" s="235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2" t="n">
        <f aca="false">IF(D74="",0,VLOOKUP(D74,D$22:D58,1,0))</f>
        <v>0</v>
      </c>
      <c r="F74" s="231" t="n">
        <f aca="false">($B74*$B$7+$C74*$C$7)/100</f>
        <v>0</v>
      </c>
      <c r="G74" s="241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42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33"/>
      <c r="B75" s="234"/>
      <c r="C75" s="235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2" t="n">
        <f aca="false">IF(D75="",0,VLOOKUP(D75,D$22:D59,1,0))</f>
        <v>0</v>
      </c>
      <c r="F75" s="231" t="n">
        <f aca="false">($B75*$B$7+$C75*$C$7)/100</f>
        <v>0</v>
      </c>
      <c r="G75" s="241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42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33"/>
      <c r="B76" s="234"/>
      <c r="C76" s="235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2" t="n">
        <f aca="false">IF(D76="",0,VLOOKUP(D76,D$22:D59,1,0))</f>
        <v>0</v>
      </c>
      <c r="F76" s="231" t="n">
        <f aca="false">($B76*$B$7+$C76*$C$7)/100</f>
        <v>0</v>
      </c>
      <c r="G76" s="241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42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33"/>
      <c r="B77" s="234"/>
      <c r="C77" s="235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2" t="n">
        <f aca="false">IF(D77="",0,VLOOKUP(D77,D$22:D75,1,0))</f>
        <v>0</v>
      </c>
      <c r="F77" s="231" t="n">
        <f aca="false">($B77*$B$7+$C77*$C$7)/100</f>
        <v>0</v>
      </c>
      <c r="G77" s="241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42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33"/>
      <c r="B78" s="234"/>
      <c r="C78" s="235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2" t="n">
        <f aca="false">IF(D78="",0,VLOOKUP(D78,D$22:D75,1,0))</f>
        <v>0</v>
      </c>
      <c r="F78" s="231" t="n">
        <f aca="false">($B78*$B$7+$C78*$C$7)/100</f>
        <v>0</v>
      </c>
      <c r="G78" s="241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42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33"/>
      <c r="B79" s="234"/>
      <c r="C79" s="235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2" t="n">
        <f aca="false">IF(D79="",0,VLOOKUP(D79,D$22:D75,1,0))</f>
        <v>0</v>
      </c>
      <c r="F79" s="231" t="n">
        <f aca="false">($B79*$B$7+$C79*$C$7)/100</f>
        <v>0</v>
      </c>
      <c r="G79" s="241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42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33"/>
      <c r="B80" s="234"/>
      <c r="C80" s="235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2" t="n">
        <f aca="false">IF(D80="",0,VLOOKUP(D80,D$22:D79,1,0))</f>
        <v>0</v>
      </c>
      <c r="F80" s="231" t="n">
        <f aca="false">($B80*$B$7+$C80*$C$7)/100</f>
        <v>0</v>
      </c>
      <c r="G80" s="241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42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33"/>
      <c r="B81" s="234"/>
      <c r="C81" s="235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2" t="n">
        <f aca="false">IF(D81="",0,VLOOKUP(D81,D$21:D80,1,0))</f>
        <v>0</v>
      </c>
      <c r="F81" s="231" t="n">
        <f aca="false">($B81*$B$7+$C81*$C$7)/100</f>
        <v>0</v>
      </c>
      <c r="G81" s="241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42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7"/>
      <c r="M81" s="237"/>
      <c r="N81" s="237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3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4"/>
      <c r="B82" s="245"/>
      <c r="C82" s="246"/>
      <c r="D82" s="247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8" t="n">
        <f aca="false">IF(D82="",0,VLOOKUP(D82,D$20:D80,1,0))</f>
        <v>0</v>
      </c>
      <c r="F82" s="249" t="n">
        <f aca="false">($B82*$B$7+$C82*$C$7)/100</f>
        <v>0</v>
      </c>
      <c r="G82" s="250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51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52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3"/>
      <c r="M82" s="253"/>
      <c r="N82" s="253"/>
      <c r="O82" s="254"/>
      <c r="P82" s="255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6"/>
      <c r="X82" s="257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8" t="s">
        <v>93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9"/>
      <c r="Q83" s="259"/>
      <c r="R83" s="259"/>
      <c r="S83" s="259"/>
      <c r="T83" s="10"/>
      <c r="U83" s="10"/>
      <c r="V83" s="259"/>
      <c r="W83" s="259"/>
      <c r="X83" s="259"/>
      <c r="Y83" s="260"/>
      <c r="Z83" s="260"/>
      <c r="AA83" s="260"/>
      <c r="AB83" s="261"/>
      <c r="AC83" s="261"/>
      <c r="AD83" s="261"/>
    </row>
    <row r="84" customFormat="false" ht="12.75" hidden="true" customHeight="false" outlineLevel="0" collapsed="false">
      <c r="A84" s="262" t="str">
        <f aca="false">A3</f>
        <v>ARDECHE</v>
      </c>
      <c r="B84" s="263" t="str">
        <f aca="false">C3</f>
        <v>ARDECHE A VALLON PONT D'ARC</v>
      </c>
      <c r="C84" s="264" t="n">
        <f aca="false">A4</f>
        <v>41801</v>
      </c>
      <c r="D84" s="265" t="n">
        <f aca="false">IF(ISERROR(SUM($T$23:$T$82)/SUM($U$23:$U$82)),"",SUM($T$23:$T$82)/SUM($U$23:$U$82))</f>
        <v>10.9189189189189</v>
      </c>
      <c r="E84" s="266" t="n">
        <f aca="false">N13</f>
        <v>15</v>
      </c>
      <c r="F84" s="263" t="n">
        <f aca="false">N14</f>
        <v>14</v>
      </c>
      <c r="G84" s="263" t="n">
        <f aca="false">N15</f>
        <v>4</v>
      </c>
      <c r="H84" s="263" t="n">
        <f aca="false">N16</f>
        <v>9</v>
      </c>
      <c r="I84" s="263" t="n">
        <f aca="false">N17</f>
        <v>1</v>
      </c>
      <c r="J84" s="267" t="n">
        <f aca="false">N8</f>
        <v>10.3571428571429</v>
      </c>
      <c r="K84" s="265" t="n">
        <f aca="false">N9</f>
        <v>2.60787660907553</v>
      </c>
      <c r="L84" s="266" t="n">
        <f aca="false">N10</f>
        <v>6</v>
      </c>
      <c r="M84" s="266" t="n">
        <f aca="false">N11</f>
        <v>14</v>
      </c>
      <c r="N84" s="265" t="n">
        <f aca="false">O8</f>
        <v>1.78571428571429</v>
      </c>
      <c r="O84" s="265" t="n">
        <f aca="false">O9</f>
        <v>0.557874976850475</v>
      </c>
      <c r="P84" s="266" t="n">
        <f aca="false">O10</f>
        <v>1</v>
      </c>
      <c r="Q84" s="266" t="n">
        <f aca="false">O11</f>
        <v>3</v>
      </c>
      <c r="R84" s="266" t="n">
        <f aca="false">F21</f>
        <v>12.918</v>
      </c>
      <c r="S84" s="266" t="n">
        <f aca="false">K11</f>
        <v>0</v>
      </c>
      <c r="T84" s="266" t="n">
        <f aca="false">K12</f>
        <v>6</v>
      </c>
      <c r="U84" s="266" t="n">
        <f aca="false">K13</f>
        <v>2</v>
      </c>
      <c r="V84" s="268" t="n">
        <f aca="false">K14</f>
        <v>0</v>
      </c>
      <c r="W84" s="269" t="n">
        <f aca="false">K15</f>
        <v>6</v>
      </c>
      <c r="Z84" s="270"/>
      <c r="AA84" s="270"/>
      <c r="AB84" s="261"/>
      <c r="AC84" s="261"/>
      <c r="AD84" s="26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1" t="s">
        <v>94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95</v>
      </c>
      <c r="R87" s="10"/>
      <c r="S87" s="217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96</v>
      </c>
      <c r="R88" s="10"/>
      <c r="S88" s="217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97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98</v>
      </c>
      <c r="R90" s="10"/>
      <c r="S90" s="272" t="n">
        <f aca="false">IF(ISERROR(SUM($T$23:$T$82)/SUM($U$23:$U$82)),"",(SUM($T$23:$T$82)-S88)/(SUM($U$23:$U$82)-S89))</f>
        <v>10.5161290322581</v>
      </c>
      <c r="T90" s="10"/>
    </row>
    <row r="91" customFormat="false" ht="12.75" hidden="false" customHeight="false" outlineLevel="0" collapsed="false">
      <c r="Q91" s="216" t="s">
        <v>99</v>
      </c>
      <c r="R91" s="216"/>
      <c r="S91" s="216" t="str">
        <f aca="false">INDEX('[2]liste reference'!$A$8:$A$904,$T$91)</f>
        <v>PHOSPX</v>
      </c>
      <c r="T91" s="10" t="n">
        <f aca="false">IF(ISERROR(MATCH($S$93,'[2]liste reference'!$A$8:$A$904,0)),MATCH($S$93,'[2]liste reference'!$B$8:$B$904,0),(MATCH($S$93,'[2]liste reference'!$A$8:$A$904,0)))</f>
        <v>57</v>
      </c>
      <c r="U91" s="261"/>
    </row>
    <row r="92" customFormat="false" ht="12.75" hidden="false" customHeight="false" outlineLevel="0" collapsed="false">
      <c r="Q92" s="10" t="s">
        <v>100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6" t="s">
        <v>101</v>
      </c>
      <c r="R93" s="10"/>
      <c r="S93" s="216" t="str">
        <f aca="false">INDEX($A$23:$A$82,$S$92)</f>
        <v>PHOSPX</v>
      </c>
      <c r="T93" s="10"/>
    </row>
    <row r="94" customFormat="false" ht="12.75" hidden="false" customHeight="false" outlineLevel="0" collapsed="false">
      <c r="S94" s="26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5:A82">
    <cfRule type="expression" priority="2" aboveAverage="0" equalAverage="0" bottom="0" percent="0" rank="0" text="" dxfId="0">
      <formula>ISTEXT($E35)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4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2014-12-16T10:10:22Z</dcterms:created>
  <dc:creator>Laurent Bourgoin</dc:creator>
  <dc:description/>
  <dc:language>fr-FR</dc:language>
  <cp:lastModifiedBy>Laurent Bourgoin</cp:lastModifiedBy>
  <dcterms:modified xsi:type="dcterms:W3CDTF">2014-12-16T10:10:45Z</dcterms:modified>
  <cp:revision>0</cp:revision>
  <dc:subject/>
  <dc:title/>
</cp:coreProperties>
</file>