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rdeche SJP" sheetId="6" state="visible" r:id="rId8"/>
    <sheet name="modele" sheetId="7" state="hidden" r:id="rId9"/>
    <sheet name="liste codes réf" sheetId="8" state="hidden" r:id="rId10"/>
  </sheets>
  <definedNames>
    <definedName function="false" hidden="false" localSheetId="5" name="_xlnm.Print_Area" vbProcedure="false">'Ardeche SJP'!$A$1:$O$82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'Ardeche SJP'!$A$23:$J$84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<sst xmlns="http://schemas.openxmlformats.org/spreadsheetml/2006/main" count="7345" uniqueCount="2730">
  <si>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</si>
  <si>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</si>
  <si>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</si>
  <si>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</si>
  <si>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</si>
  <si>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</si>
  <si>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</si>
  <si>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</si>
  <si>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</si>
  <si>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</si>
  <si>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</si>
  <si>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</si>
  <si>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</si>
  <si>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</si>
  <si>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</si>
  <si>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</si>
  <si>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</si>
  <si>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</si>
  <si>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</si>
  <si>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</si>
  <si>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</si>
  <si>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</si>
  <si>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</si>
  <si>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</si>
  <si>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</si>
  <si>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</si>
  <si>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</si>
  <si>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</si>
  <si>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</si>
  <si>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</si>
  <si>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</si>
  <si>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</si>
  <si>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</si>
  <si>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</si>
  <si>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</si>
  <si>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</si>
  <si>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</si>
  <si>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</si>
  <si>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</si>
  <si>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</si>
  <si>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</si>
  <si>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</si>
  <si>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</si>
  <si>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</si>
  <si>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</si>
  <si>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</si>
  <si>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</si>
  <si>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</si>
  <si>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</si>
  <si>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</si>
  <si>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</si>
  <si>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</si>
  <si>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</si>
  <si>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</si>
  <si>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</si>
  <si>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</si>
  <si>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</si>
  <si>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</si>
  <si>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</si>
  <si>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</si>
  <si>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</si>
  <si>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</si>
  <si>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</si>
  <si>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</si>
  <si>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</si>
  <si>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</si>
  <si>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</si>
  <si>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</si>
  <si>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</si>
  <si>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</si>
  <si>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</si>
  <si>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</si>
  <si>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</si>
  <si>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</si>
  <si>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</si>
  <si>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</si>
  <si>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</si>
  <si>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</si>
  <si>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</si>
  <si>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</si>
  <si>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</si>
  <si>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</si>
  <si>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</si>
  <si>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</si>
  <si>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</si>
  <si>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</si>
  <si>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</si>
  <si>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</si>
  <si>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</si>
  <si>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</si>
  <si>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</si>
  <si>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</si>
  <si>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</si>
  <si>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</si>
  <si>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</si>
  <si>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</si>
  <si>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</si>
  <si>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</si>
  <si>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</si>
  <si>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</si>
  <si>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</si>
  <si>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</si>
  <si>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</si>
  <si>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</si>
  <si>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</si>
  <si>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</si>
  <si>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</si>
  <si>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</si>
  <si>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</si>
  <si>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</si>
  <si>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</si>
  <si>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</si>
  <si>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</si>
  <si>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</si>
  <si>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</si>
  <si>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</si>
  <si>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</si>
  <si>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</si>
  <si>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</si>
  <si>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</si>
  <si>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</si>
  <si>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</si>
  <si>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</si>
  <si>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</si>
  <si>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</si>
  <si>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</si>
  <si>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</si>
  <si>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</si>
  <si>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</si>
  <si>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</si>
  <si>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</si>
  <si>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</si>
  <si>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</si>
  <si>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</si>
  <si>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</si>
  <si>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</si>
  <si>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</si>
  <si>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</si>
  <si>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</si>
  <si>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</si>
  <si>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</si>
  <si>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</si>
  <si>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</si>
  <si>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</si>
  <si>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</si>
  <si>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</si>
  <si>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</si>
  <si>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</si>
  <si>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</si>
  <si>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</si>
  <si>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</si>
  <si>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</si>
  <si>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</si>
  <si>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</si>
  <si>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</si>
  <si>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</si>
  <si>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</si>
  <si>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</si>
  <si>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</si>
  <si>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</si>
  <si>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</si>
  <si>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</si>
  <si>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</si>
  <si>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</si>
  <si>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</si>
  <si>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</si>
  <si>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</si>
  <si>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</si>
  <si>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</si>
  <si>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</si>
  <si>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</si>
  <si>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</si>
  <si>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</si>
  <si>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</si>
  <si>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</si>
  <si>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</si>
  <si>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</si>
  <si>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</si>
  <si>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</si>
  <si>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</si>
  <si>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</si>
  <si>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</si>
  <si>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</si>
  <si>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</si>
  <si>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</si>
  <si>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</si>
  <si>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</si>
  <si>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</si>
  <si>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</si>
  <si>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</si>
  <si>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</si>
  <si>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</si>
  <si>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</si>
  <si>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</si>
  <si>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</si>
  <si>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</si>
  <si>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</si>
  <si>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</si>
  <si>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</si>
  <si>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</si>
  <si>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</si>
  <si>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</si>
  <si>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</si>
  <si>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</si>
  <si>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</si>
  <si>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</si>
  <si>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</si>
  <si>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</si>
  <si>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</si>
  <si>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</si>
  <si>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</si>
  <si>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</si>
  <si>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</si>
  <si>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</si>
  <si>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</si>
  <si>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</si>
  <si>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</si>
  <si>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</si>
  <si>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</si>
  <si>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</si>
  <si>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</si>
  <si>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</si>
  <si>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</si>
  <si>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</si>
  <si>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</si>
  <si>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</si>
  <si>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</si>
  <si>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</si>
  <si>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</si>
  <si>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</si>
  <si>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</si>
  <si>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</si>
  <si>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</si>
  <si>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</si>
  <si>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</si>
  <si>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</si>
  <si>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</si>
  <si>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</si>
  <si>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</si>
  <si>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</si>
  <si>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</si>
  <si>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</si>
  <si>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</si>
  <si>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</si>
  <si>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</si>
  <si>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</si>
  <si>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</si>
  <si>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</si>
  <si>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</si>
  <si>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</si>
  <si>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</si>
  <si>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</si>
  <si>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</si>
  <si>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</si>
  <si>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</si>
  <si>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</si>
  <si>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</si>
  <si>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</si>
  <si>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</si>
  <si>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</si>
  <si>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</si>
  <si>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</si>
  <si>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</si>
  <si>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</si>
  <si>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</si>
  <si>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</si>
  <si>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</si>
  <si>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</si>
  <si>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</si>
  <si>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</si>
  <si>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</si>
  <si>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</si>
  <si>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</si>
  <si>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</si>
  <si>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</si>
  <si>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</si>
  <si>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</si>
  <si>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</si>
  <si>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</si>
  <si>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</si>
  <si>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</si>
  <si>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</si>
  <si>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</si>
  <si>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</si>
  <si>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</si>
  <si>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</si>
  <si>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</si>
  <si>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</si>
  <si>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</si>
  <si>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</si>
  <si>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</si>
  <si>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</si>
  <si>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</si>
  <si>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</si>
  <si>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</si>
  <si>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</si>
  <si>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</si>
  <si>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</si>
  <si>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</si>
  <si>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</si>
  <si>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</si>
  <si>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</si>
  <si>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</si>
  <si>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</si>
  <si>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</si>
  <si>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</si>
  <si>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</si>
  <si>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</si>
  <si>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</si>
  <si>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</si>
  <si>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</si>
  <si>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</si>
  <si>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</si>
  <si>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</si>
  <si>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</si>
  <si>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</si>
  <si>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</si>
  <si>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</si>
  <si>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</si>
  <si>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</si>
  <si>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</si>
  <si>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</si>
  <si>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</si>
  <si>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</si>
  <si>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</si>
  <si>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</si>
  <si>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</si>
  <si>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</si>
  <si>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</si>
  <si>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</si>
  <si>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</si>
  <si>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</si>
  <si>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</si>
  <si>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</si>
  <si>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</si>
  <si>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</si>
  <si>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</si>
  <si>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</si>
  <si>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</si>
  <si>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</si>
  <si>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</si>
  <si>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</si>
  <si>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</si>
  <si>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</si>
  <si>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</si>
  <si>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</si>
  <si>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</si>
  <si>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</si>
  <si>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</si>
  <si>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</si>
  <si>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</si>
  <si>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</si>
  <si>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</si>
  <si>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</si>
  <si>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</si>
  <si>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</si>
  <si>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</si>
  <si>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</si>
  <si>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</si>
  <si>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</si>
  <si>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</si>
  <si>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</si>
  <si>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</si>
  <si>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</si>
  <si>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</si>
  <si>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</si>
  <si>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</si>
  <si>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</si>
  <si>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</si>
  <si>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</si>
  <si>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</si>
  <si>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</si>
  <si>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</si>
  <si>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</si>
  <si>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</si>
  <si>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</si>
  <si>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</si>
  <si>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</si>
  <si>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</si>
  <si>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</si>
  <si>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</si>
  <si>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</si>
  <si>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</si>
  <si>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</si>
  <si>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</si>
  <si>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</si>
  <si>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</si>
  <si>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</si>
  <si>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</si>
  <si>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</si>
  <si>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</si>
  <si>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</si>
  <si>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</si>
  <si>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</si>
  <si>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</si>
  <si>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</si>
  <si>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</si>
  <si>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</si>
  <si>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</si>
  <si>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</si>
  <si>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</si>
  <si>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</si>
  <si>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</si>
  <si>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</si>
  <si>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</si>
  <si>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</si>
  <si>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</si>
  <si>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</si>
  <si>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</si>
  <si>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</si>
  <si>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</si>
  <si>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</si>
  <si>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</si>
  <si>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</si>
  <si>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</si>
  <si>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</si>
  <si>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</si>
  <si>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</si>
  <si>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</si>
  <si>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</si>
  <si>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</si>
  <si>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</si>
  <si>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</si>
  <si>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</si>
  <si>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</si>
  <si>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</si>
  <si>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</si>
  <si>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</si>
  <si>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</si>
  <si>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</si>
  <si>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</si>
  <si>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</si>
  <si>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</si>
  <si>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</si>
  <si>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</si>
  <si>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</si>
  <si>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</si>
  <si>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</si>
  <si>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</si>
  <si>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</si>
  <si>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</si>
  <si>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</si>
  <si>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</si>
  <si>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</si>
  <si>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</si>
  <si>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</si>
  <si>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</si>
  <si>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</si>
  <si>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</si>
  <si>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</si>
  <si>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</si>
  <si>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</si>
  <si>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</si>
  <si>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</si>
  <si>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</si>
  <si>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</si>
  <si>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</si>
  <si>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</si>
  <si>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</si>
  <si>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</si>
  <si>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</si>
  <si>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</si>
  <si>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</si>
  <si>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</si>
  <si>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</si>
  <si>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</si>
  <si>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</si>
  <si>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</si>
  <si>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</si>
  <si>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</si>
  <si>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</si>
  <si>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</si>
  <si>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</si>
  <si>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</si>
  <si>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</si>
  <si>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</si>
  <si>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</si>
  <si>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</si>
  <si>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</si>
  <si>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</si>
  <si>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</si>
  <si>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</si>
  <si>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</si>
  <si>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</si>
  <si>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</si>
  <si>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</si>
  <si>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</si>
  <si>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</si>
  <si>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</si>
  <si>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</si>
  <si>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</si>
  <si>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</si>
  <si>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</si>
  <si>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</si>
  <si>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</si>
  <si>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</si>
  <si>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</si>
  <si>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</si>
  <si>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</si>
  <si>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</si>
  <si>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</si>
  <si>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</si>
  <si>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</si>
  <si>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</si>
  <si>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</si>
  <si>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</si>
  <si>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</si>
  <si>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</si>
  <si>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</si>
  <si>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</si>
  <si>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</si>
  <si>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</si>
  <si>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</si>
  <si>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</si>
  <si>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</si>
  <si>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</si>
  <si>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</si>
  <si>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</si>
  <si>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</si>
  <si>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</si>
  <si>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</si>
  <si>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</si>
  <si>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</si>
  <si>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</si>
  <si>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</si>
  <si>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</si>
  <si>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</si>
  <si>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</si>
  <si>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</si>
  <si>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</si>
  <si>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</si>
  <si>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</si>
  <si>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</si>
  <si>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</si>
  <si>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</si>
  <si>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</si>
  <si>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</si>
  <si>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</si>
  <si>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</si>
  <si>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</si>
  <si>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</si>
  <si>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</si>
  <si>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</si>
  <si>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</si>
  <si>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</si>
  <si>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</si>
  <si>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</si>
  <si>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</si>
  <si>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</si>
  <si>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</si>
  <si>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</si>
  <si>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</si>
  <si>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</si>
  <si>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</si>
  <si>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</si>
  <si>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</si>
  <si>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</si>
  <si>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</si>
  <si>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</si>
  <si>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</si>
  <si>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</si>
  <si>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</si>
  <si>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</si>
  <si>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</si>
  <si>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</si>
  <si>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</si>
  <si>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</si>
  <si>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</si>
  <si>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</si>
  <si>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</si>
  <si>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</si>
  <si>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</si>
  <si>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</si>
  <si>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</si>
  <si>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</si>
  <si>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</si>
  <si>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</si>
  <si>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</si>
  <si>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</si>
  <si>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</si>
  <si>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</si>
  <si>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</si>
  <si>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</si>
  <si>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</si>
  <si>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</si>
  <si>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</si>
  <si>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</si>
  <si>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</si>
  <si>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</si>
  <si>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</si>
  <si>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</si>
  <si>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</si>
  <si>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</si>
  <si>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</si>
  <si>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</si>
  <si>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</si>
  <si>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</si>
  <si>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</si>
  <si>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</si>
  <si>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</si>
  <si>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</si>
  <si>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</si>
  <si>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</si>
  <si>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</si>
  <si>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</si>
  <si>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</si>
  <si>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</si>
  <si>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</si>
  <si>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</si>
  <si>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</si>
  <si>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</si>
  <si>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</si>
  <si>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</si>
  <si>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</si>
  <si>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</si>
  <si>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</si>
  <si>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</si>
  <si>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</si>
  <si>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</si>
  <si>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</si>
  <si>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</si>
  <si>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</si>
  <si>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</si>
  <si>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</si>
  <si>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</si>
  <si>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</si>
  <si>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</si>
  <si>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</si>
  <si>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</si>
  <si>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</si>
  <si>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</si>
  <si>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</si>
  <si>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</si>
  <si>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</si>
  <si>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</si>
  <si>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</si>
  <si>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</si>
  <si>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</si>
  <si>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</si>
  <si>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</si>
  <si>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</si>
  <si>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</si>
  <si>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</si>
  <si>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</si>
  <si>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</si>
  <si>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</si>
  <si>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</si>
  <si>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</si>
  <si>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</si>
  <si>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</si>
  <si>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</si>
  <si>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</si>
  <si>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</si>
  <si>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</si>
  <si>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</si>
  <si>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</si>
  <si>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</si>
  <si>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</si>
  <si>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</si>
  <si>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</si>
  <si>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</si>
  <si>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</si>
  <si>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</si>
  <si>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</si>
  <si>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</si>
  <si>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</si>
  <si>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</si>
  <si>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</si>
  <si>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</si>
  <si>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</si>
  <si>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</si>
  <si>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</si>
  <si>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</si>
  <si>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</si>
  <si>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</si>
  <si>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</si>
  <si>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</si>
  <si>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</si>
  <si>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</si>
  <si>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</si>
  <si>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</si>
  <si>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</si>
  <si>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</si>
  <si>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</si>
  <si>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</si>
  <si>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</si>
  <si>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</si>
  <si>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</si>
  <si>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</si>
  <si>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</si>
  <si>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</si>
  <si>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</si>
  <si>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</si>
  <si>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</si>
  <si>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</si>
  <si>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</si>
  <si>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</si>
  <si>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</si>
  <si>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</si>
  <si>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</si>
  <si>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</si>
  <si>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</si>
  <si>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</si>
  <si>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</si>
  <si>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</si>
  <si>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</si>
  <si>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</si>
  <si>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</si>
  <si>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</si>
  <si>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</si>
  <si>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</si>
  <si>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</si>
  <si>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</si>
  <si>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</si>
  <si>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</si>
  <si>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</si>
  <si>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</si>
  <si>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</si>
  <si>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</si>
  <si>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</si>
  <si>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</si>
  <si>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</si>
  <si>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</si>
  <si>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</si>
  <si>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</si>
  <si>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</si>
  <si>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</si>
  <si>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</si>
  <si>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</si>
  <si>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</si>
  <si>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</si>
  <si>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</si>
  <si>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</si>
  <si>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</si>
  <si>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</si>
  <si>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</si>
  <si>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</si>
  <si>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</si>
  <si>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</si>
  <si>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</si>
  <si>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</si>
  <si>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</si>
  <si>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</si>
  <si>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</si>
  <si>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</si>
  <si>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</si>
  <si>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</si>
  <si>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</si>
  <si>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</si>
  <si>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</si>
  <si>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</si>
  <si>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</si>
  <si>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</si>
  <si>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</si>
  <si>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</si>
  <si>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</si>
  <si>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</si>
  <si>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</si>
  <si>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</si>
  <si>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</si>
  <si>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</si>
  <si>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</si>
  <si>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</si>
  <si>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</si>
  <si>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</si>
  <si>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</si>
  <si>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</si>
  <si>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</si>
  <si>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</si>
  <si>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</si>
  <si>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</si>
  <si>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</si>
  <si>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</si>
  <si>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</si>
  <si>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</si>
  <si>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</si>
  <si>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</si>
  <si>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</si>
  <si>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</si>
  <si>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</si>
  <si>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</si>
  <si>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</si>
  <si>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</si>
  <si>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</si>
  <si>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</si>
  <si>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</si>
  <si>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</si>
  <si>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</si>
  <si>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</si>
  <si>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</si>
  <si>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</si>
  <si>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</si>
  <si>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</si>
  <si>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</si>
  <si>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</si>
  <si>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</si>
  <si>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</si>
  <si>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</si>
  <si>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</si>
  <si>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</si>
  <si>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</si>
  <si>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</si>
  <si>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</si>
  <si>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</si>
  <si>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</si>
  <si>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</si>
  <si>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</si>
  <si>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</si>
  <si>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</si>
  <si>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</si>
  <si>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</si>
  <si>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</si>
  <si>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</si>
  <si>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</si>
  <si>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</si>
  <si>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</si>
  <si>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</si>
  <si>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</si>
  <si>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</si>
  <si>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</si>
  <si>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</si>
  <si>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</si>
  <si>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</si>
  <si>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</si>
  <si>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</si>
  <si>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</si>
  <si>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</si>
  <si>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</si>
  <si>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</si>
  <si>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</si>
  <si>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</si>
  <si>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</si>
  <si>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</si>
  <si>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</si>
  <si>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</si>
  <si>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</si>
  <si>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</si>
  <si>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</si>
  <si>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</si>
  <si>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</si>
  <si>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</si>
  <si>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</si>
  <si>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</si>
  <si>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</si>
  <si>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</si>
  <si>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</si>
  <si>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</si>
  <si>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</si>
  <si>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</si>
  <si>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</si>
  <si>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</si>
  <si>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</si>
  <si>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</si>
  <si>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</si>
  <si>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</si>
  <si>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</si>
  <si>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</si>
  <si>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</si>
  <si>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</si>
  <si>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</si>
  <si>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</si>
  <si>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</si>
  <si>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</si>
  <si>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</si>
  <si>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</si>
  <si>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</si>
  <si>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</si>
  <si>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</si>
  <si>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</si>
  <si>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</si>
  <si>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</si>
  <si>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</si>
  <si>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</si>
  <si>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</si>
  <si>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</si>
  <si>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</si>
  <si>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</si>
  <si>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</si>
  <si>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</si>
  <si>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</si>
  <si>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</si>
  <si>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</si>
  <si>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</si>
  <si>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</si>
  <si>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</si>
  <si>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</si>
  <si>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</si>
  <si>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</si>
  <si>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</si>
  <si>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</si>
  <si>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</si>
  <si>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</si>
  <si>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</si>
  <si>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</si>
  <si>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</si>
  <si>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</si>
  <si>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</si>
  <si>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</si>
  <si>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</si>
  <si>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</si>
  <si>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</si>
  <si>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</si>
  <si>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</si>
  <si>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</si>
  <si>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</si>
  <si>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</si>
  <si>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</si>
  <si>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</si>
  <si>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</si>
  <si>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</si>
  <si>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</si>
  <si>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</si>
  <si>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</si>
  <si>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</si>
  <si>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</si>
  <si>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</si>
  <si>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</si>
  <si>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</si>
  <si>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</si>
  <si>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</si>
  <si>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</si>
  <si>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</si>
  <si>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</si>
  <si>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</si>
  <si>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</si>
  <si>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</si>
  <si>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</si>
  <si>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</si>
  <si>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</si>
  <si>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</si>
  <si>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</si>
  <si>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</si>
  <si>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</si>
  <si>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</si>
  <si>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</si>
  <si>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</si>
  <si>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</si>
  <si>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</si>
  <si>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</si>
  <si>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</si>
  <si>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</si>
  <si>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</si>
  <si>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</si>
  <si>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</si>
  <si>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</si>
  <si>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</si>
  <si>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</si>
  <si>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</si>
  <si>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</si>
  <si>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</si>
  <si>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</si>
  <si>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</si>
  <si>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</si>
  <si>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</si>
  <si>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</si>
  <si>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</si>
  <si>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</si>
  <si>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</si>
  <si>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</si>
  <si>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</si>
  <si>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</si>
  <si>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</si>
  <si>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</si>
  <si>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</si>
  <si>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</si>
  <si>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</si>
  <si>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</si>
  <si>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</si>
  <si>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</si>
  <si>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</si>
  <si>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</si>
  <si>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</si>
  <si>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</si>
  <si>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</si>
  <si>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</si>
  <si>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</si>
  <si>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</si>
  <si>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</si>
  <si>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</si>
  <si>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</si>
  <si>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</si>
  <si>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</si>
  <si>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</si>
  <si>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</si>
  <si>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</si>
  <si>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</si>
  <si>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</si>
  <si>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</si>
  <si>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</si>
  <si>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</si>
  <si>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</si>
  <si>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</si>
  <si>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</si>
  <si>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</si>
  <si>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</si>
  <si>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</si>
  <si>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</si>
  <si>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</si>
  <si>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</si>
  <si>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</si>
  <si>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</si>
  <si>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</si>
  <si>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</si>
  <si>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</si>
  <si>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</si>
  <si>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</si>
  <si>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</si>
  <si>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</si>
  <si>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</si>
  <si>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</si>
  <si>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</si>
  <si>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</si>
  <si>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</si>
  <si>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</si>
  <si>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</si>
  <si>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</si>
  <si>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</si>
  <si>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</si>
  <si>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</si>
  <si>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</si>
  <si>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</si>
  <si>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</si>
  <si>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</si>
  <si>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</si>
  <si>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</si>
  <si>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</si>
  <si>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</si>
  <si>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</si>
  <si>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</si>
  <si>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</si>
  <si>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</si>
  <si>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</si>
  <si>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</si>
  <si>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</si>
  <si>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</si>
  <si>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</si>
  <si>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</si>
  <si>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</si>
  <si>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</si>
  <si>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</si>
  <si>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</si>
  <si>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</si>
  <si>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</si>
  <si>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</si>
  <si>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</si>
  <si>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</si>
  <si>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</si>
  <si>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</si>
  <si>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</si>
  <si>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</si>
  <si>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</si>
  <si>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</si>
  <si>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</si>
  <si>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</si>
  <si>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</si>
  <si>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</si>
  <si>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</si>
  <si>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</si>
  <si>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</si>
  <si>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</si>
  <si>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</si>
  <si>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</si>
  <si>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</si>
  <si>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</si>
  <si>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</si>
  <si>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</si>
  <si>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</si>
  <si>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</si>
  <si>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</si>
  <si>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</si>
  <si>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</si>
  <si>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</si>
  <si>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</si>
  <si>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</si>
  <si>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</si>
  <si>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</si>
  <si>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</si>
  <si>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</si>
  <si>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</si>
  <si>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</si>
  <si>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</si>
  <si>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</si>
  <si>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</si>
  <si>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</si>
  <si>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</si>
  <si>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</si>
  <si>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</si>
  <si>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</si>
  <si>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</si>
  <si>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</si>
  <si>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</si>
  <si>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</si>
  <si>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</si>
  <si>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</si>
  <si>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</si>
  <si>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</si>
  <si>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</si>
  <si>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</si>
  <si>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</si>
  <si>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</si>
  <si>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</si>
  <si>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</si>
  <si>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</si>
  <si>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</si>
  <si>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</si>
  <si>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</si>
  <si>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</si>
  <si>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</si>
  <si>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</si>
  <si>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</si>
  <si>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</si>
  <si>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</si>
  <si>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</si>
  <si>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</si>
  <si>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</si>
  <si>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</si>
  <si>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</si>
  <si>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</si>
  <si>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</si>
  <si>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</si>
  <si>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</si>
  <si>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</si>
  <si>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</si>
  <si>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</si>
  <si>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</si>
  <si>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</si>
  <si>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</si>
  <si>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</si>
  <si>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</si>
  <si>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</si>
  <si>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</si>
  <si>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</si>
  <si>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</si>
  <si>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</si>
  <si>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</si>
  <si>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</si>
  <si>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</si>
  <si>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</si>
  <si>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</si>
  <si>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</si>
  <si>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</si>
  <si>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</si>
  <si>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</si>
  <si>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</si>
  <si>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</si>
  <si>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</si>
  <si>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</si>
  <si>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</si>
  <si>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</si>
  <si>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</si>
  <si>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</si>
  <si>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</si>
  <si>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</si>
  <si>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</si>
  <si>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</si>
  <si>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</si>
  <si>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</si>
  <si>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</si>
  <si>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</si>
  <si>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</si>
  <si>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</si>
  <si>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</si>
  <si>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</si>
  <si>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</si>
  <si>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</si>
  <si>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</si>
  <si>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</si>
  <si>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</si>
  <si>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</si>
  <si>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</si>
  <si>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</si>
  <si>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</si>
  <si>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</si>
  <si>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</si>
  <si>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</si>
  <si>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</si>
  <si>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</si>
  <si>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</si>
  <si>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</si>
  <si>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</si>
  <si>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</si>
  <si>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</si>
  <si>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</si>
  <si>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</si>
  <si>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</si>
  <si>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</si>
  <si>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</si>
  <si>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</si>
  <si>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</si>
  <si>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</si>
  <si>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</si>
  <si>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</si>
  <si>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</si>
  <si>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</si>
  <si>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</si>
  <si>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</si>
  <si>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</si>
  <si>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</si>
  <si>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</si>
  <si>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</si>
  <si>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</si>
  <si>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</si>
  <si>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</si>
  <si>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</si>
  <si>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</si>
  <si>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</si>
  <si>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</si>
  <si>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</si>
  <si>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</si>
  <si>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</si>
  <si>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</si>
  <si>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</si>
  <si>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</si>
  <si>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</si>
  <si>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</si>
  <si>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</si>
  <si>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</si>
  <si>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</si>
  <si>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</si>
  <si>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</si>
  <si>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</si>
  <si>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</si>
  <si>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</si>
  <si>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</si>
  <si>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</si>
  <si>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</si>
  <si>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</si>
  <si>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</si>
  <si>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</si>
  <si>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</si>
  <si>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</si>
  <si>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</si>
  <si>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</si>
  <si>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</si>
  <si>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</si>
  <si>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</si>
  <si>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</si>
  <si>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</si>
  <si>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</si>
  <si>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</si>
  <si>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</si>
  <si>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</si>
  <si>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</si>
  <si>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</si>
  <si>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</si>
  <si>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</si>
  <si>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</si>
  <si>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</si>
  <si>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</si>
  <si>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</si>
  <si>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</si>
  <si>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</si>
  <si>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</si>
  <si>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</si>
  <si>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</si>
  <si>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</si>
  <si>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</si>
  <si>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</si>
  <si>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</si>
  <si>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</si>
  <si>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</si>
  <si>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</si>
  <si>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</si>
  <si>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</si>
  <si>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</si>
  <si>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</si>
  <si>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</si>
  <si>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</si>
  <si>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</si>
  <si>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</si>
  <si>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</si>
  <si>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</si>
  <si>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</si>
  <si>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</si>
  <si>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</si>
  <si>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</si>
  <si>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</si>
  <si>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</si>
  <si>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</si>
  <si>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</si>
  <si>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</si>
  <si>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</si>
  <si>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</si>
  <si>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</si>
  <si>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</si>
  <si>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</si>
  <si>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</si>
  <si>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</si>
  <si>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</si>
  <si>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</si>
  <si>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</si>
  <si>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</si>
  <si>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</si>
  <si>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</si>
  <si>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</si>
  <si>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</si>
  <si>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</si>
  <si>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</si>
  <si>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</si>
  <si>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</si>
  <si>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</si>
  <si>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</si>
  <si>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</si>
  <si>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</si>
  <si>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</si>
  <si>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</si>
  <si>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</si>
  <si>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</si>
  <si>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</si>
  <si>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</si>
  <si>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</si>
  <si>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</si>
  <si>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</si>
  <si>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</si>
  <si>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</si>
  <si>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</si>
  <si>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</si>
  <si>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</si>
  <si>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</si>
  <si>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</si>
  <si>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</si>
  <si>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</si>
  <si>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</si>
  <si>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</si>
  <si>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</si>
  <si>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</si>
  <si>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</si>
  <si>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</si>
  <si>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</si>
  <si>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</si>
  <si>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</si>
  <si>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</si>
  <si>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</si>
  <si>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</si>
  <si>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</si>
  <si>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</si>
  <si>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</si>
  <si>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</si>
  <si>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</si>
  <si>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</si>
  <si>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</si>
  <si>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</si>
  <si>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</si>
  <si>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</si>
  <si>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</si>
  <si>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</si>
  <si>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</si>
  <si>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</si>
  <si>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</si>
  <si>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</si>
  <si>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</si>
  <si>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</si>
  <si>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</si>
  <si>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</si>
  <si>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</si>
  <si>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</si>
  <si>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</si>
  <si>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</si>
  <si>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</si>
  <si>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</si>
  <si>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</si>
  <si>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</si>
  <si>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</si>
  <si>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</si>
  <si>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</si>
  <si>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</si>
  <si>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</si>
  <si>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</si>
  <si>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</si>
  <si>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</si>
  <si>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</si>
  <si>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</si>
  <si>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</si>
  <si>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</si>
  <si>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</si>
  <si>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</si>
  <si>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</si>
  <si>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</si>
  <si>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</si>
  <si>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</si>
  <si>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</si>
  <si>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</si>
  <si>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</si>
  <si>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</si>
  <si>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</si>
  <si>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</si>
  <si>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</si>
  <si>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</si>
  <si>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</si>
  <si>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</si>
  <si>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</si>
  <si>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</si>
  <si>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</si>
  <si>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</si>
  <si>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</si>
  <si>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</si>
  <si>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</si>
  <si>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</si>
  <si>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</si>
  <si>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</si>
  <si>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</si>
  <si>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</si>
  <si>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</si>
  <si>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</si>
  <si>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</si>
  <si>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</si>
  <si>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</si>
  <si>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</si>
  <si>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</si>
  <si>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</si>
  <si>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</si>
  <si>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</si>
  <si>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</si>
  <si>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</si>
  <si>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</si>
  <si>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</si>
  <si>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</si>
  <si>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</si>
  <si>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</si>
  <si>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</si>
  <si>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</si>
  <si>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</si>
  <si>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</si>
  <si>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</si>
  <si>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</si>
  <si>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</si>
  <si>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</si>
  <si>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</si>
  <si>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</si>
  <si>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</si>
  <si>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</si>
  <si>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</si>
  <si>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</si>
  <si>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</si>
  <si>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</si>
  <si>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</si>
  <si>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</si>
  <si>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</si>
  <si>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</si>
  <si>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</si>
  <si>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</si>
  <si>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</si>
  <si>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</si>
  <si>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</si>
  <si>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</si>
  <si>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</si>
  <si>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</si>
  <si>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</si>
  <si>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</si>
  <si>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</si>
  <si>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</si>
  <si>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</si>
  <si>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</si>
  <si>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</si>
  <si>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</si>
  <si>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</si>
  <si>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</si>
  <si>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</si>
  <si>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</si>
  <si>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</si>
  <si>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</si>
  <si>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</si>
  <si>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</si>
  <si>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</si>
  <si>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</si>
  <si>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</si>
  <si>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</si>
  <si>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</si>
  <si>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</si>
  <si>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</si>
  <si>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</si>
  <si>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</si>
  <si>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</si>
  <si>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</si>
  <si>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</si>
  <si>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</si>
  <si>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</si>
  <si>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</si>
  <si>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</si>
  <si>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</si>
  <si>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</si>
  <si>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</si>
  <si>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</si>
  <si>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</si>
  <si>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</si>
  <si>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</si>
  <si>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</si>
  <si>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</si>
  <si>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</si>
  <si>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</si>
  <si>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</si>
  <si>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</si>
  <si>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</si>
  <si>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</si>
  <si>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</si>
  <si>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</si>
  <si>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</si>
  <si>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</si>
  <si>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</si>
  <si>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</si>
  <si>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</si>
  <si>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</si>
  <si>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</si>
  <si>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</si>
  <si>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</si>
  <si>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</si>
  <si>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</si>
  <si>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</si>
  <si>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</si>
  <si>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</si>
  <si>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</si>
  <si>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</si>
  <si>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</si>
  <si>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</si>
  <si>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</si>
  <si>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</si>
  <si>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</si>
  <si>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</si>
  <si>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</si>
  <si>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</si>
  <si>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</si>
  <si>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</si>
  <si>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</si>
  <si>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</si>
  <si>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</si>
  <si>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</si>
  <si>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</si>
  <si>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</si>
  <si>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</si>
  <si>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</si>
  <si>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</si>
  <si>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</si>
  <si>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</si>
  <si>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</si>
  <si>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</si>
  <si>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</si>
  <si>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</si>
  <si>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</si>
  <si>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</si>
  <si>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</si>
  <si>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</si>
  <si>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</si>
  <si>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</si>
  <si>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</si>
  <si>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</si>
  <si>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</si>
  <si>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</si>
  <si>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</si>
  <si>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</si>
  <si>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</si>
  <si>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</si>
  <si>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</si>
  <si>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</si>
  <si>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</si>
  <si>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</si>
  <si>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</si>
  <si>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</si>
  <si>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</si>
  <si>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</si>
  <si>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</si>
  <si>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</si>
  <si>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</si>
  <si>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</si>
  <si>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</si>
  <si>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</si>
  <si>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</si>
  <si>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</si>
  <si>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</si>
  <si>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</si>
  <si>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</si>
  <si>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</si>
  <si>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</si>
  <si>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</si>
  <si>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</si>
  <si>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</si>
  <si>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</si>
  <si>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</si>
  <si>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</si>
  <si>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</si>
  <si>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</si>
  <si>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</si>
  <si>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</si>
  <si>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</si>
  <si>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</si>
  <si>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</si>
  <si>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</si>
  <si>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</si>
  <si>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</si>
  <si>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</si>
  <si>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</si>
  <si>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</si>
  <si>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</si>
  <si>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</si>
  <si>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</si>
  <si>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</si>
  <si>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</si>
  <si>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</si>
  <si>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</si>
  <si>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</si>
  <si>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</si>
  <si>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</si>
  <si>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</si>
  <si>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</si>
  <si>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</si>
  <si>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</si>
  <si>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</si>
  <si>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</si>
  <si>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</si>
  <si>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</si>
  <si>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</si>
  <si>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</si>
  <si>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</si>
  <si>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</si>
  <si>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</si>
  <si>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</si>
  <si>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</si>
  <si>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</si>
  <si>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</si>
  <si>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</si>
  <si>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</si>
  <si>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</si>
  <si>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</si>
  <si>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</si>
  <si>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</si>
  <si>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</si>
  <si>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</si>
  <si>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</si>
  <si>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</si>
  <si>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</si>
  <si>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</si>
  <si>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</si>
  <si>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</si>
  <si>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</si>
  <si>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</si>
  <si>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</si>
  <si>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</si>
  <si>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</si>
  <si>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</si>
  <si>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</si>
  <si>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</si>
  <si>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</si>
  <si>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</si>
  <si>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</si>
  <si>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</si>
  <si>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</si>
  <si>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</si>
  <si>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</si>
  <si>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</si>
  <si>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</si>
  <si>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</si>
  <si>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</si>
  <si>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</si>
  <si>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</si>
  <si>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</si>
  <si>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</si>
  <si>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</si>
  <si>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</si>
  <si>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</si>
  <si>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</si>
  <si>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</si>
  <si>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</si>
  <si>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</si>
  <si>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</si>
  <si>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</si>
  <si>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</si>
  <si>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</si>
  <si>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</si>
  <si>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</si>
  <si>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</si>
  <si>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</si>
  <si>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</si>
  <si>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</si>
  <si>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</si>
  <si>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</si>
  <si>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</si>
  <si>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</si>
  <si>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</si>
  <si>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</si>
  <si>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</si>
  <si>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</si>
  <si>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</si>
  <si>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</si>
  <si>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</si>
  <si>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</si>
  <si>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</si>
  <si>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</si>
  <si>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</si>
  <si>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</si>
  <si>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</si>
  <si>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</si>
  <si>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</si>
  <si>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</si>
  <si>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</si>
  <si>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</si>
  <si>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</si>
  <si>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</si>
  <si>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</si>
  <si>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</si>
  <si>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</si>
  <si>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</si>
  <si>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</si>
  <si>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</si>
  <si>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</si>
  <si>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</si>
  <si>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</si>
  <si>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</si>
  <si>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</si>
  <si>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</si>
  <si>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</si>
  <si>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</si>
  <si>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</si>
  <si>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</si>
  <si>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</si>
  <si>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</si>
  <si>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</si>
  <si>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</si>
  <si>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</si>
  <si>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</si>
  <si>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</si>
  <si>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</si>
  <si>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</si>
  <si>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</si>
  <si>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</si>
  <si>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</si>
  <si>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</si>
  <si>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</si>
  <si>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</si>
  <si>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</si>
  <si>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</si>
  <si>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</si>
  <si>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</si>
  <si>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</si>
  <si>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</si>
  <si>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</si>
  <si>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</si>
  <si>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</si>
  <si>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</si>
  <si>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</si>
  <si>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</si>
  <si>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</si>
  <si>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</si>
  <si>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</si>
  <si>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</si>
  <si>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</si>
  <si>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</si>
  <si>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</si>
  <si>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</si>
  <si>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</si>
  <si>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</si>
  <si>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</si>
  <si>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</si>
  <si>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</si>
  <si>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</si>
  <si>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</si>
  <si>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</si>
  <si>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</si>
  <si>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</si>
  <si>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</si>
  <si>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</si>
  <si>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</si>
  <si>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</si>
  <si>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</si>
  <si>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</si>
  <si>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</si>
  <si>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</si>
  <si>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</si>
  <si>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</si>
  <si>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</si>
  <si>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</si>
  <si>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</si>
  <si>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</si>
  <si>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</si>
  <si>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</si>
  <si>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</si>
  <si>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</si>
  <si>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</si>
  <si>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</si>
  <si>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</si>
  <si>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</si>
  <si>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</si>
  <si>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</si>
  <si>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</si>
  <si>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</si>
  <si>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</si>
  <si>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</si>
  <si>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</si>
  <si>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</si>
  <si>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</si>
  <si>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</si>
  <si>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</si>
  <si>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</si>
  <si>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</si>
  <si>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</si>
  <si>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</si>
  <si>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</si>
  <si>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</si>
  <si>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</si>
  <si>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</si>
  <si>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</si>
  <si>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</si>
  <si>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</si>
  <si>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</si>
  <si>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</si>
  <si>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</si>
  <si>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</si>
  <si>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</si>
  <si>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</si>
  <si>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</si>
  <si>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</si>
  <si>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</si>
  <si>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</si>
  <si>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</si>
  <si>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</si>
  <si>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</si>
  <si>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</si>
  <si>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</si>
  <si>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</si>
  <si>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</si>
  <si>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</si>
  <si>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</si>
  <si>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</si>
  <si>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</si>
  <si>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</si>
  <si>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</si>
  <si>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</si>
  <si>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</si>
  <si>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</si>
  <si>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</si>
  <si>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</si>
  <si>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</si>
  <si>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</si>
  <si>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</si>
  <si>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</si>
  <si>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</si>
  <si>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</si>
  <si>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</si>
  <si>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</si>
  <si>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</si>
  <si>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</si>
  <si>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</si>
  <si>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</si>
  <si>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</si>
  <si>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</si>
  <si>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</si>
  <si>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</si>
  <si>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</si>
  <si>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</si>
  <si>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</si>
  <si>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</si>
  <si>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</si>
  <si>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</si>
  <si>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</si>
  <si>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</si>
  <si>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</si>
  <si>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</si>
  <si>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</si>
  <si>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</si>
  <si>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</si>
  <si>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</si>
  <si>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</si>
  <si>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</si>
  <si>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</si>
  <si>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</si>
  <si>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</si>
  <si>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</si>
  <si>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</si>
  <si>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</si>
  <si>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</si>
  <si>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</si>
  <si>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</si>
  <si>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</si>
  <si>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</si>
  <si>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</si>
  <si>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</si>
  <si>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</si>
  <si>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</si>
  <si>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</si>
  <si>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</si>
  <si>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</si>
  <si>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</si>
  <si>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</si>
  <si>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</si>
  <si>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</si>
  <si>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</si>
  <si>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</si>
  <si>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</si>
  <si>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</si>
  <si>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</si>
  <si>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</si>
  <si>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</si>
  <si>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</si>
  <si>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</si>
  <si>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</si>
  <si>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</si>
  <si>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</si>
  <si>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</si>
  <si>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</si>
  <si>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</si>
  <si>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</si>
  <si>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</si>
  <si>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</si>
  <si>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</si>
  <si>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</si>
  <si>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</si>
  <si>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</si>
  <si>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</si>
  <si>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</si>
  <si>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</si>
  <si>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</si>
  <si>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</si>
  <si>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</si>
  <si>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</si>
  <si>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</si>
  <si>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</si>
  <si>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</si>
  <si>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</si>
  <si>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</si>
  <si>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</si>
  <si>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</si>
  <si>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</si>
  <si>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</si>
  <si>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</si>
  <si>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</si>
  <si>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</si>
  <si>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</si>
  <si>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</si>
  <si>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</si>
  <si>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</si>
  <si>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</si>
  <si>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</si>
  <si>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</si>
  <si>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</si>
  <si>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</si>
  <si>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</si>
  <si>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</si>
  <si>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</si>
  <si>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</si>
  <si>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</si>
  <si>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</si>
  <si>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</si>
  <si>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</si>
  <si>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</si>
  <si>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</si>
  <si>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</si>
  <si>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</si>
  <si>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</si>
  <si>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</si>
  <si>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</si>
  <si>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</si>
  <si>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</si>
  <si>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</si>
  <si>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</si>
  <si>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</si>
  <si>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</si>
  <si>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</si>
  <si>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</si>
  <si>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</si>
  <si>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</si>
  <si>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</si>
  <si>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</si>
  <si>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</si>
  <si>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</si>
  <si>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</si>
  <si>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</si>
  <si>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</si>
  <si>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</si>
  <si>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</si>
  <si>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</si>
  <si>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</si>
  <si>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</si>
  <si>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</si>
  <si>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</si>
  <si>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</si>
  <si>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</si>
  <si>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</si>
  <si>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</si>
  <si>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</si>
  <si>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</si>
  <si>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</si>
  <si>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</si>
  <si>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</si>
  <si>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</si>
  <si>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</si>
  <si>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</si>
  <si>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</si>
  <si>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</si>
  <si>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</si>
  <si>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</si>
  <si>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</si>
  <si>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</si>
  <si>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</si>
  <si>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</si>
  <si>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</si>
  <si>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</si>
  <si>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</si>
  <si>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</si>
  <si>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</si>
  <si>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</si>
  <si>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</si>
  <si>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</si>
  <si>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</si>
  <si>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</si>
  <si>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</si>
  <si>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</si>
  <si>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</si>
  <si>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</si>
  <si>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</si>
  <si>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</si>
  <si>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</si>
  <si>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</si>
  <si>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</si>
  <si>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</si>
  <si>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</si>
  <si>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</si>
  <si>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</si>
  <si>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</si>
  <si>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</si>
  <si>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</si>
  <si>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</si>
  <si>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</si>
  <si>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</si>
  <si>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</si>
  <si>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</si>
  <si>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</si>
  <si>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</si>
  <si>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</si>
  <si>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</si>
  <si>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</si>
  <si>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</si>
  <si>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</si>
  <si>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</si>
  <si>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</si>
  <si>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</si>
  <si>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</si>
  <si>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</si>
  <si>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</si>
  <si>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</si>
  <si>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</si>
  <si>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</si>
  <si>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</si>
  <si>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</si>
  <si>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</si>
  <si>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</si>
  <si>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</si>
  <si>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</si>
  <si>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</si>
  <si>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</si>
  <si>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</si>
  <si>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</si>
  <si>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</si>
  <si>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</si>
  <si>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</si>
  <si>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</si>
  <si>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</si>
  <si>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</si>
  <si>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</si>
  <si>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</si>
  <si>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</si>
  <si>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</si>
  <si>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</si>
  <si>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</si>
  <si>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</si>
  <si>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</si>
  <si>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</si>
  <si>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</si>
  <si>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</si>
  <si>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</si>
  <si>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</si>
  <si>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</si>
  <si>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</si>
  <si>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</si>
  <si>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</si>
  <si>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</si>
  <si>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</si>
  <si>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</si>
  <si>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</si>
  <si>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</si>
  <si>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</si>
  <si>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</si>
  <si>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</si>
  <si>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</si>
  <si>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</si>
  <si>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</si>
  <si>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</si>
  <si>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</si>
  <si>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</si>
  <si>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</si>
  <si>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</si>
  <si>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</si>
  <si>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</si>
  <si>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</si>
  <si>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</si>
  <si>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</si>
  <si>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</si>
  <si>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</si>
  <si>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</si>
  <si>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</si>
  <si>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</si>
  <si>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</si>
  <si>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</si>
  <si>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</si>
  <si>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</si>
  <si>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</si>
  <si>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</si>
  <si>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</si>
  <si>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</si>
  <si>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</si>
  <si>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</si>
  <si>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</si>
  <si>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</si>
  <si>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</si>
  <si>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</si>
  <si>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</si>
  <si>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</si>
  <si>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</si>
  <si>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</si>
  <si>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</si>
  <si>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</si>
  <si>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</si>
  <si>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</si>
  <si>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</si>
  <si>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</si>
  <si>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</si>
  <si>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</si>
  <si>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</si>
  <si>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</si>
  <si>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</si>
  <si>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</si>
  <si>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</si>
  <si>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</si>
  <si>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</si>
  <si>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</si>
  <si>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</si>
  <si>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</si>
  <si>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</si>
  <si>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</si>
  <si>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</si>
  <si>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</si>
  <si>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</si>
  <si>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</si>
  <si>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</si>
  <si>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</si>
  <si>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</si>
  <si>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</si>
  <si>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</si>
  <si>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</si>
  <si>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</si>
  <si>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</si>
  <si>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</si>
  <si>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</si>
  <si>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</si>
  <si>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</si>
  <si>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</si>
  <si>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</si>
  <si>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</si>
  <si>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</si>
  <si>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</si>
  <si>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</si>
  <si>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</si>
  <si>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</si>
  <si>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</si>
  <si>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</si>
  <si>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</si>
  <si>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</si>
  <si>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</si>
  <si>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</si>
  <si>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</si>
  <si>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</si>
  <si>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</si>
  <si>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</si>
  <si>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</si>
  <si>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</si>
  <si>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</si>
  <si>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</si>
  <si>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</si>
  <si>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</si>
  <si>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</si>
  <si>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</si>
  <si>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</si>
  <si>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</si>
  <si>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</si>
  <si>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</si>
  <si>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</si>
  <si>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</si>
  <si>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</si>
  <si>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</si>
  <si>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</si>
  <si>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</si>
  <si>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</si>
  <si>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</si>
  <si>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</si>
  <si>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</si>
  <si>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</si>
  <si>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</si>
  <si>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</si>
  <si>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</si>
  <si>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</si>
  <si>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</si>
  <si>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</si>
  <si>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</si>
  <si>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</si>
  <si>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</si>
  <si>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</si>
  <si>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</si>
  <si>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</si>
  <si>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</si>
  <si>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</si>
  <si>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</si>
  <si>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</si>
  <si>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</si>
  <si>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</si>
  <si>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</si>
  <si>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</si>
  <si>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</si>
  <si>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</si>
  <si>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</si>
  <si>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</si>
  <si>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</si>
  <si>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</si>
  <si>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</si>
  <si>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</si>
  <si>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</si>
  <si>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</si>
  <si>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</si>
  <si>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</si>
  <si>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</si>
  <si>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</si>
  <si>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</si>
  <si>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</si>
  <si>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</si>
  <si>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</si>
  <si>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</si>
  <si>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</si>
  <si>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</si>
  <si>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</si>
  <si>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</si>
  <si>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</si>
  <si>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</si>
  <si>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</si>
  <si>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</si>
  <si>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</si>
  <si>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</si>
  <si>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</si>
  <si>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</si>
  <si>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</si>
  <si>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</si>
  <si>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</si>
  <si>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</si>
  <si>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</si>
  <si>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</si>
  <si>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</si>
  <si>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</si>
  <si>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</si>
  <si>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</si>
  <si>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</si>
  <si>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</si>
  <si>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</si>
  <si>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</si>
  <si>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</si>
  <si>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</si>
  <si>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</si>
  <si>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</si>
  <si>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</si>
  <si>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</si>
  <si>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</si>
  <si>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</si>
  <si>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</si>
  <si>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</si>
  <si>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</si>
  <si>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</si>
  <si>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</si>
  <si>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</si>
  <si>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</si>
  <si>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</si>
  <si>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</si>
  <si>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</si>
  <si>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</si>
  <si>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</si>
  <si>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</si>
  <si>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</si>
  <si>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</si>
  <si>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</si>
  <si>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</si>
  <si>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</si>
  <si>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</si>
  <si>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</si>
  <si>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</si>
  <si>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</si>
  <si>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</si>
  <si>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</si>
  <si>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</si>
  <si>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</si>
  <si>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</si>
  <si>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</si>
  <si>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</si>
  <si>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</si>
  <si>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</si>
  <si>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</si>
  <si>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</si>
  <si>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</si>
  <si>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</si>
  <si>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</si>
  <si>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</si>
  <si>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</si>
  <si>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</si>
  <si>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</si>
  <si>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</si>
  <si>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</si>
  <si>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</si>
  <si>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</si>
  <si>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</si>
  <si>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</si>
  <si>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</si>
  <si>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</si>
  <si>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</si>
  <si>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</si>
  <si>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</si>
  <si>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</si>
  <si>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</si>
  <si>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</si>
  <si>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</si>
  <si>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</si>
  <si>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</si>
  <si>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</si>
  <si>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</si>
  <si>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</si>
  <si>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</si>
  <si>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</si>
  <si>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</si>
  <si>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</si>
  <si>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</si>
  <si>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</si>
  <si>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</si>
  <si>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</si>
  <si>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</si>
  <si>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</si>
  <si>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</si>
  <si>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</si>
  <si>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</si>
  <si>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</si>
  <si>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</si>
  <si>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</si>
  <si>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</si>
  <si>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</si>
  <si>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</si>
  <si>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</si>
  <si>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</si>
  <si>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</si>
  <si>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</si>
  <si>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</si>
  <si>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</si>
  <si>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</si>
  <si>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</si>
  <si>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</si>
  <si>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</si>
  <si>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</si>
  <si>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</si>
  <si>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</si>
  <si>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</si>
  <si>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</si>
  <si>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</si>
  <si>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</si>
  <si>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</si>
  <si>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</si>
  <si>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</si>
  <si>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</si>
  <si>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</si>
  <si>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</si>
  <si>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</si>
  <si>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</si>
  <si>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</si>
  <si>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</si>
  <si>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</si>
  <si>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</si>
  <si>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</si>
  <si>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</si>
  <si>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</si>
  <si>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</si>
  <si>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</si>
  <si>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</si>
  <si>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</si>
  <si>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</si>
  <si>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</si>
  <si>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</si>
  <si>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</si>
  <si>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</si>
  <si>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</si>
  <si>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</si>
  <si>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</si>
  <si>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</si>
  <si>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</si>
  <si>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</si>
  <si>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</si>
  <si>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</si>
  <si>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</si>
  <si>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</si>
  <si>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</si>
  <si>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</si>
  <si>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</si>
  <si>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</si>
  <si>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</si>
  <si>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</si>
  <si>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</si>
  <si>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</si>
  <si>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</si>
  <si>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</si>
  <si>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</si>
  <si>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</si>
  <si>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</si>
  <si>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</si>
  <si>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</si>
  <si>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</si>
  <si>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</si>
  <si>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</si>
  <si>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</si>
  <si>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</si>
  <si>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</si>
  <si>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</si>
  <si>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</si>
  <si>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</si>
  <si>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</si>
  <si>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</si>
  <si>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</si>
  <si>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</si>
  <si>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</si>
  <si>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</si>
  <si>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</si>
  <si>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</si>
  <si>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</si>
  <si>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</si>
  <si>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</si>
  <si>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</si>
  <si>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</si>
  <si>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</si>
  <si>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</si>
  <si>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</si>
  <si>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</si>
  <si>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</si>
  <si>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</si>
  <si>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</si>
  <si>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</si>
  <si>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</si>
  <si>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</si>
  <si>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</si>
  <si>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</si>
  <si>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</si>
  <si>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</si>
  <si>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</si>
  <si>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</si>
  <si>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</si>
  <si>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</si>
  <si>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</si>
  <si>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</si>
  <si>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</si>
  <si>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</si>
  <si>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</si>
  <si>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</si>
  <si>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</si>
  <si>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</si>
  <si>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</si>
  <si>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</si>
  <si>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</si>
  <si>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</si>
  <si>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</si>
  <si>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</si>
  <si>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</si>
  <si>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</si>
  <si>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</si>
  <si>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</si>
  <si>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</si>
  <si>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</si>
  <si>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</si>
  <si>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</si>
  <si>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</si>
  <si>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</si>
  <si>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</si>
  <si>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</si>
  <si>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</si>
  <si>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</si>
  <si>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</si>
  <si>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</si>
  <si>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</si>
  <si>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</si>
  <si>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</si>
  <si>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</si>
  <si>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</si>
  <si>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</si>
  <si>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</si>
  <si>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</si>
  <si>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</si>
  <si>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</si>
  <si>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</si>
  <si>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</si>
  <si>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</si>
  <si>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</si>
  <si>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</si>
  <si>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</si>
  <si>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</si>
  <si>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</si>
  <si>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</si>
  <si>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</si>
  <si>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</si>
  <si>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</si>
  <si>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</si>
  <si>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</si>
  <si>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</si>
  <si>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</si>
  <si>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</si>
  <si>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</si>
  <si>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</si>
  <si>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</si>
  <si>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</si>
  <si>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</si>
  <si>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</si>
  <si>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</si>
  <si>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</si>
  <si>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</si>
  <si>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</si>
  <si>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</si>
  <si>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</si>
  <si>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</si>
  <si>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</si>
  <si>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</si>
  <si>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</si>
  <si>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</si>
  <si>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</si>
  <si>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</si>
  <si>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</si>
  <si>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</si>
  <si>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</si>
  <si>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</si>
  <si>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</si>
  <si>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</si>
  <si>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</si>
  <si>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</si>
  <si>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</si>
  <si>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</si>
  <si>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</si>
  <si>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</si>
  <si>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</si>
  <si>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</si>
  <si>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</si>
  <si>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</si>
  <si>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</si>
  <si>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</si>
  <si>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</si>
  <si>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</si>
  <si>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</si>
  <si>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</si>
  <si>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</si>
  <si>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</si>
  <si>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</si>
  <si>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</si>
  <si>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</si>
  <si>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</si>
  <si>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</si>
  <si>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</si>
  <si>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</si>
  <si>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</si>
  <si>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</si>
  <si>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</si>
  <si>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</si>
  <si>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</si>
  <si>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</si>
  <si>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</si>
  <si>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</si>
  <si>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</si>
  <si>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</si>
  <si>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</si>
  <si>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</si>
  <si>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</si>
  <si>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</si>
  <si>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</si>
  <si>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</si>
  <si>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</si>
  <si>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</si>
  <si>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</si>
  <si>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</si>
  <si>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</si>
  <si>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</si>
  <si>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</si>
  <si>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</si>
  <si>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</si>
  <si>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</si>
  <si>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</si>
  <si>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</si>
  <si>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</si>
  <si>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</si>
  <si>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</si>
  <si>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</si>
  <si>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</si>
  <si>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</si>
  <si>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</si>
  <si>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</si>
  <si>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</si>
  <si>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</si>
  <si>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</si>
  <si>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</si>
  <si>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</si>
  <si>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</si>
  <si>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</si>
  <si>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</si>
  <si>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</si>
  <si>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</si>
  <si>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</si>
  <si>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</si>
  <si>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</si>
  <si>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</si>
  <si>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</si>
  <si>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</si>
  <si>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</si>
  <si>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J. Gstalder</t>
  </si>
  <si>
    <t xml:space="preserve">conforme AFNOR T90-395 oct. 2003</t>
  </si>
  <si>
    <t xml:space="preserve">ARDECHE</t>
  </si>
  <si>
    <t xml:space="preserve">Saint Julien de Peyrolas</t>
  </si>
  <si>
    <t xml:space="preserve">06115700</t>
  </si>
  <si>
    <t xml:space="preserve">7178b - IBMR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</si>
  <si>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</si>
  <si>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</si>
  <si>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</si>
  <si>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</si>
  <si>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</si>
  <si>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</si>
  <si>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</si>
  <si>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</si>
  <si>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</si>
  <si>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</si>
  <si>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</si>
  <si>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</si>
  <si>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</si>
  <si>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</si>
  <si>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</si>
  <si>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</si>
  <si>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</si>
  <si>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</si>
  <si>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</si>
  <si>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</si>
  <si>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</si>
  <si>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</si>
  <si>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</si>
  <si>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</si>
  <si>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</si>
  <si>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</si>
  <si>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</si>
  <si>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</si>
  <si>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</si>
  <si>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</si>
  <si>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</si>
  <si>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</si>
  <si>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</si>
  <si>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</si>
  <si>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</si>
  <si>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</si>
  <si>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</si>
  <si>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</si>
  <si>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</si>
  <si>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</si>
  <si>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</si>
  <si>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</si>
  <si>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</si>
  <si>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</si>
  <si>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</si>
  <si>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</si>
  <si>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</si>
  <si>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</si>
  <si>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</si>
  <si>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</si>
  <si>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(4,0136 %)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</si>
  <si>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</si>
  <si>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</si>
  <si>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</si>
  <si>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</si>
  <si>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</si>
  <si>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</si>
  <si>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</si>
  <si>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</si>
  <si>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</si>
  <si>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</si>
  <si>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</si>
  <si>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</si>
  <si>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</si>
  <si>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</si>
  <si>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</si>
  <si>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</si>
  <si>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</si>
  <si>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</si>
  <si>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</si>
  <si>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Cymbellaceae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</si>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</sst>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41515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v>
      </c>
      <c r="M5" s="323"/>
      <c r="N5" s="324" t="s">
        <v>258</v>
      </c>
      <c r="O5" s="325" t="n">
        <v>8.82352941176471</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58</v>
      </c>
      <c r="C7" s="337" t="n">
        <v>42</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8.75</v>
      </c>
      <c r="O8" s="354" t="n">
        <f aca="false">IF(ISERROR(AVERAGE(J23:J82)),"      -",AVERAGE(J23:J82))</f>
        <v>1.75</v>
      </c>
      <c r="P8" s="355"/>
      <c r="Q8" s="280"/>
      <c r="R8" s="280"/>
      <c r="S8" s="280"/>
      <c r="T8" s="280"/>
      <c r="U8" s="280"/>
      <c r="V8" s="280"/>
      <c r="W8" s="292"/>
      <c r="X8" s="293"/>
    </row>
    <row r="9" customFormat="false" ht="13.5" hidden="false" customHeight="false" outlineLevel="0" collapsed="false">
      <c r="A9" s="313" t="s">
        <v>2635</v>
      </c>
      <c r="B9" s="356" t="n">
        <v>3.9</v>
      </c>
      <c r="C9" s="357" t="n">
        <v>4.2</v>
      </c>
      <c r="D9" s="358"/>
      <c r="E9" s="358"/>
      <c r="F9" s="359" t="n">
        <f aca="false">($B9*$B$7+$C9*$C$7)/100</f>
        <v>4.026</v>
      </c>
      <c r="G9" s="360"/>
      <c r="H9" s="361"/>
      <c r="I9" s="362"/>
      <c r="J9" s="363"/>
      <c r="K9" s="343"/>
      <c r="L9" s="364"/>
      <c r="M9" s="353" t="s">
        <v>2636</v>
      </c>
      <c r="N9" s="354" t="n">
        <f aca="false">IF(ISERROR(STDEVP(I23:I82)),"     -",STDEVP(I23:I82))</f>
        <v>2.77263412660235</v>
      </c>
      <c r="O9" s="354" t="n">
        <f aca="false">IF(ISERROR(STDEVP(J23:J82)),"      -",STDEVP(J23:J82))</f>
        <v>0.433012701892219</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5</v>
      </c>
      <c r="O10" s="376" t="n">
        <f aca="false">MIN(J23:J82)</f>
        <v>1</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13</v>
      </c>
      <c r="O11" s="376" t="n">
        <f aca="false">MAX(J23:J82)</f>
        <v>2</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5</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9</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8</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3</v>
      </c>
      <c r="L15" s="386"/>
      <c r="M15" s="407" t="s">
        <v>2655</v>
      </c>
      <c r="N15" s="408" t="n">
        <f aca="false">COUNTIF(J23:J82,"=1")</f>
        <v>2</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6</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3.875</v>
      </c>
      <c r="C20" s="436" t="n">
        <f aca="false">SUM(C23:C82)</f>
        <v>4.205</v>
      </c>
      <c r="D20" s="437"/>
      <c r="E20" s="438" t="s">
        <v>2661</v>
      </c>
      <c r="F20" s="439" t="n">
        <f aca="false">($B20*$B$7+$C20*$C$7)/100</f>
        <v>4.0136</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2.2475</v>
      </c>
      <c r="C21" s="449" t="n">
        <f aca="false">C20*C7/100</f>
        <v>1.7661</v>
      </c>
      <c r="D21" s="381" t="str">
        <f aca="false">IF(F21=0,"",IF((ABS(F21-F19))&gt;(0.2*F21),CONCATENATE(" rec. par taxa (",F21," %) supérieur à 20 % !"),""))</f>
        <v> rec. par taxa (4,0136 %) supérieur à 20 % !</v>
      </c>
      <c r="E21" s="450" t="str">
        <f aca="false">IF(F21=0,"",IF((ABS(F21-F19))&gt;(0.2*F21),CONCATENATE("ATTENTION : écart entre rec. par grp (",F19," %) ","et",""),""))</f>
        <v>ATTENTION : écart entre rec. par grp (0 %) et</v>
      </c>
      <c r="F21" s="451" t="n">
        <f aca="false">B21+C21</f>
        <v>4.0136</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122</v>
      </c>
      <c r="B23" s="475" t="n">
        <v>1.55</v>
      </c>
      <c r="C23" s="476" t="n">
        <v>1.5</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1.529</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1.529</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130</v>
      </c>
      <c r="B24" s="494" t="n">
        <v>0.3</v>
      </c>
      <c r="C24" s="495" t="n">
        <v>0.25</v>
      </c>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0.279</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0.279</v>
      </c>
      <c r="R24" s="487" t="n">
        <f aca="false">IF(OR(ISTEXT(H24),Q24=0),"",IF(Q24&lt;0.1,1,IF(Q24&lt;1,2,IF(Q24&lt;10,3,IF(Q24&lt;50,4,IF(Q24&gt;=50,5,""))))))</f>
        <v>2</v>
      </c>
      <c r="S24" s="487" t="n">
        <f aca="false">IF(ISERROR(R24*I24),0,R24*I24)</f>
        <v>24</v>
      </c>
      <c r="T24" s="487" t="n">
        <f aca="false">IF(ISERROR(R24*I24*J24),0,R24*I24*J24)</f>
        <v>48</v>
      </c>
      <c r="U24" s="499" t="n">
        <f aca="false">IF(ISERROR(R24*J24),0,R24*J24)</f>
        <v>4</v>
      </c>
      <c r="V24" s="488" t="str">
        <f aca="false">IF(AND(A24="",F24=0),"",IF(F24=0,"Il manque le(s) % de rec. !",""))</f>
        <v/>
      </c>
      <c r="W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2.75" hidden="false" customHeight="false" outlineLevel="0" collapsed="false">
      <c r="A25" s="493" t="s">
        <v>223</v>
      </c>
      <c r="B25" s="494" t="n">
        <v>0.1</v>
      </c>
      <c r="C25" s="495"/>
      <c r="D25" s="477" t="str">
        <f aca="false">IF(ISERROR(VLOOKUP($A25,'liste reference'!$A$7:$D$904,2,0)),IF(ISERROR(VLOOKUP($A25,'liste reference'!$B$7:$D$904,1,0)),"",VLOOKUP($A25,'liste reference'!$B$7:$D$904,1,0)),VLOOKUP($A25,'liste reference'!$A$7:$D$904,2,0))</f>
        <v>Oedogonium sp.</v>
      </c>
      <c r="E25" s="496" t="e">
        <f aca="false">IF(D25="",0,VLOOKUP(D25,D$22:D24,1,0))</f>
        <v>#N/A</v>
      </c>
      <c r="F25" s="497" t="n">
        <f aca="false">($B25*$B$7+$C25*$C$7)/100</f>
        <v>0.058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1134</v>
      </c>
      <c r="Q25" s="486" t="n">
        <f aca="false">IF(ISTEXT(H25),"",(B25*$B$7/100)+(C25*$C$7/100))</f>
        <v>0.058</v>
      </c>
      <c r="R25" s="487" t="n">
        <f aca="false">IF(OR(ISTEXT(H25),Q25=0),"",IF(Q25&lt;0.1,1,IF(Q25&lt;1,2,IF(Q25&lt;10,3,IF(Q25&lt;50,4,IF(Q25&gt;=50,5,""))))))</f>
        <v>1</v>
      </c>
      <c r="S25" s="487" t="n">
        <f aca="false">IF(ISERROR(R25*I25),0,R25*I25)</f>
        <v>6</v>
      </c>
      <c r="T25" s="487" t="n">
        <f aca="false">IF(ISERROR(R25*I25*J25),0,R25*I25*J25)</f>
        <v>12</v>
      </c>
      <c r="U25" s="499" t="n">
        <f aca="false">IF(ISERROR(R25*J25),0,R25*J25)</f>
        <v>2</v>
      </c>
      <c r="V25" s="488" t="str">
        <f aca="false">IF(AND(A25="",F25=0),"",IF(F25=0,"Il manque le(s) % de rec. !",""))</f>
        <v/>
      </c>
      <c r="W25" s="489"/>
      <c r="X25" s="489"/>
      <c r="Y25" s="490" t="str">
        <f aca="false">IF(A25="new.cod","NEWCOD",IF(AND((Z25=""),ISTEXT(A25)),A25,IF(Z25="","",INDEX('liste reference'!$A$8:$A$904,Z25))))</f>
        <v>OEDSPX</v>
      </c>
      <c r="Z25" s="280" t="n">
        <f aca="false">IF(ISERROR(MATCH(A25,'liste reference'!$A$8:$A$904,0)),IF(ISERROR(MATCH(A25,'liste reference'!$B$8:$B$904,0)),"",(MATCH(A25,'liste reference'!$B$8:$B$904,0))),(MATCH(A25,'liste reference'!$A$8:$A$904,0)))</f>
        <v>55</v>
      </c>
      <c r="AA25" s="491"/>
      <c r="AB25" s="492"/>
      <c r="AC25" s="492"/>
      <c r="BB25" s="280" t="n">
        <f aca="false">IF(A25="","",1)</f>
        <v>1</v>
      </c>
    </row>
    <row r="26" customFormat="false" ht="12.75" hidden="false" customHeight="false" outlineLevel="0" collapsed="false">
      <c r="A26" s="493" t="s">
        <v>228</v>
      </c>
      <c r="B26" s="494" t="n">
        <v>0.01</v>
      </c>
      <c r="C26" s="495" t="n">
        <v>0.005</v>
      </c>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0.0079</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0.0079</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c r="AB26" s="492"/>
      <c r="AC26" s="492"/>
      <c r="BB26" s="280" t="n">
        <f aca="false">IF(A26="","",1)</f>
        <v>1</v>
      </c>
    </row>
    <row r="27" customFormat="false" ht="12.75" hidden="false" customHeight="false" outlineLevel="0" collapsed="false">
      <c r="A27" s="493" t="s">
        <v>258</v>
      </c>
      <c r="B27" s="494" t="n">
        <v>1.5</v>
      </c>
      <c r="C27" s="495" t="n">
        <v>1</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1.29</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1.29</v>
      </c>
      <c r="R27" s="487" t="n">
        <f aca="false">IF(OR(ISTEXT(H27),Q27=0),"",IF(Q27&lt;0.1,1,IF(Q27&lt;1,2,IF(Q27&lt;10,3,IF(Q27&lt;50,4,IF(Q27&gt;=50,5,""))))))</f>
        <v>3</v>
      </c>
      <c r="S27" s="487" t="n">
        <f aca="false">IF(ISERROR(R27*I27),0,R27*I27)</f>
        <v>30</v>
      </c>
      <c r="T27" s="487" t="n">
        <f aca="false">IF(ISERROR(R27*I27*J27),0,R27*I27*J27)</f>
        <v>30</v>
      </c>
      <c r="U27" s="499" t="n">
        <f aca="false">IF(ISERROR(R27*J27),0,R27*J27)</f>
        <v>3</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1277</v>
      </c>
      <c r="B28" s="494" t="n">
        <v>0.005</v>
      </c>
      <c r="C28" s="495" t="n">
        <v>0.05</v>
      </c>
      <c r="D28" s="477" t="str">
        <f aca="false">IF(ISERROR(VLOOKUP($A28,'liste reference'!$A$7:$D$904,2,0)),IF(ISERROR(VLOOKUP($A28,'liste reference'!$B$7:$D$904,1,0)),"",VLOOKUP($A28,'liste reference'!$B$7:$D$904,1,0)),VLOOKUP($A28,'liste reference'!$A$7:$D$904,2,0))</f>
        <v>Ceratophyllum demersum</v>
      </c>
      <c r="E28" s="496" t="e">
        <f aca="false">IF(D28="",0,VLOOKUP(D28,D$22:D27,1,0))</f>
        <v>#N/A</v>
      </c>
      <c r="F28" s="497" t="n">
        <f aca="false">($B28*$B$7+$C28*$C$7)/100</f>
        <v>0.0239</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Ceratophyllum demersum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1717</v>
      </c>
      <c r="Q28" s="486" t="n">
        <f aca="false">IF(ISTEXT(H28),"",(B28*$B$7/100)+(C28*$C$7/100))</f>
        <v>0.0239</v>
      </c>
      <c r="R28" s="487" t="n">
        <f aca="false">IF(OR(ISTEXT(H28),Q28=0),"",IF(Q28&lt;0.1,1,IF(Q28&lt;1,2,IF(Q28&lt;10,3,IF(Q28&lt;50,4,IF(Q28&gt;=50,5,""))))))</f>
        <v>1</v>
      </c>
      <c r="S28" s="487" t="n">
        <f aca="false">IF(ISERROR(R28*I28),0,R28*I28)</f>
        <v>5</v>
      </c>
      <c r="T28" s="487" t="n">
        <f aca="false">IF(ISERROR(R28*I28*J28),0,R28*I28*J28)</f>
        <v>10</v>
      </c>
      <c r="U28" s="499" t="n">
        <f aca="false">IF(ISERROR(R28*J28),0,R28*J28)</f>
        <v>2</v>
      </c>
      <c r="V28" s="488" t="str">
        <f aca="false">IF(AND(A28="",F28=0),"",IF(F28=0,"Il manque le(s) % de rec. !",""))</f>
        <v/>
      </c>
      <c r="W28" s="489"/>
      <c r="Y28" s="490" t="str">
        <f aca="false">IF(A28="new.cod","NEWCOD",IF(AND((Z28=""),ISTEXT(A28)),A28,IF(Z28="","",INDEX('liste reference'!$A$8:$A$904,Z28))))</f>
        <v>CERDEM</v>
      </c>
      <c r="Z28" s="280" t="n">
        <f aca="false">IF(ISERROR(MATCH(A28,'liste reference'!$A$8:$A$904,0)),IF(ISERROR(MATCH(A28,'liste reference'!$B$8:$B$904,0)),"",(MATCH(A28,'liste reference'!$B$8:$B$904,0))),(MATCH(A28,'liste reference'!$A$8:$A$904,0)))</f>
        <v>330</v>
      </c>
      <c r="AA28" s="491"/>
      <c r="AB28" s="492"/>
      <c r="AC28" s="492"/>
      <c r="BB28" s="280" t="n">
        <f aca="false">IF(A28="","",1)</f>
        <v>1</v>
      </c>
    </row>
    <row r="29" customFormat="false" ht="12.75" hidden="false" customHeight="false" outlineLevel="0" collapsed="false">
      <c r="A29" s="493" t="s">
        <v>1375</v>
      </c>
      <c r="B29" s="494" t="n">
        <v>0.005</v>
      </c>
      <c r="C29" s="495" t="n">
        <v>0.1</v>
      </c>
      <c r="D29" s="477" t="str">
        <f aca="false">IF(ISERROR(VLOOKUP($A29,'liste reference'!$A$7:$D$904,2,0)),IF(ISERROR(VLOOKUP($A29,'liste reference'!$B$7:$D$904,1,0)),"",VLOOKUP($A29,'liste reference'!$B$7:$D$904,1,0)),VLOOKUP($A29,'liste reference'!$A$7:$D$904,2,0))</f>
        <v>Myriophyllum spicatum</v>
      </c>
      <c r="E29" s="496" t="e">
        <f aca="false">IF(D29="",0,VLOOKUP(D29,D$22:D28,1,0))</f>
        <v>#N/A</v>
      </c>
      <c r="F29" s="497" t="n">
        <f aca="false">($B29*$B$7+$C29*$C$7)/100</f>
        <v>0.0449</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8</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Myriophyllum spicatum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1778</v>
      </c>
      <c r="Q29" s="486" t="n">
        <f aca="false">IF(ISTEXT(H29),"",(B29*$B$7/100)+(C29*$C$7/100))</f>
        <v>0.0449</v>
      </c>
      <c r="R29" s="487" t="n">
        <f aca="false">IF(OR(ISTEXT(H29),Q29=0),"",IF(Q29&lt;0.1,1,IF(Q29&lt;1,2,IF(Q29&lt;10,3,IF(Q29&lt;50,4,IF(Q29&gt;=50,5,""))))))</f>
        <v>1</v>
      </c>
      <c r="S29" s="487" t="n">
        <f aca="false">IF(ISERROR(R29*I29),0,R29*I29)</f>
        <v>8</v>
      </c>
      <c r="T29" s="487" t="n">
        <f aca="false">IF(ISERROR(R29*I29*J29),0,R29*I29*J29)</f>
        <v>16</v>
      </c>
      <c r="U29" s="499" t="n">
        <f aca="false">IF(ISERROR(R29*J29),0,R29*J29)</f>
        <v>2</v>
      </c>
      <c r="V29" s="488" t="str">
        <f aca="false">IF(AND(A29="",F29=0),"",IF(F29=0,"Il manque le(s) % de rec. !",""))</f>
        <v/>
      </c>
      <c r="W29" s="500"/>
      <c r="Y29" s="490" t="str">
        <f aca="false">IF(A29="new.cod","NEWCOD",IF(AND((Z29=""),ISTEXT(A29)),A29,IF(Z29="","",INDEX('liste reference'!$A$8:$A$904,Z29))))</f>
        <v>MYRSPI</v>
      </c>
      <c r="Z29" s="280" t="n">
        <f aca="false">IF(ISERROR(MATCH(A29,'liste reference'!$A$8:$A$904,0)),IF(ISERROR(MATCH(A29,'liste reference'!$B$8:$B$904,0)),"",(MATCH(A29,'liste reference'!$B$8:$B$904,0))),(MATCH(A29,'liste reference'!$A$8:$A$904,0)))</f>
        <v>373</v>
      </c>
      <c r="AA29" s="491"/>
      <c r="AB29" s="492"/>
      <c r="AC29" s="492"/>
      <c r="BB29" s="280" t="n">
        <f aca="false">IF(A29="","",1)</f>
        <v>1</v>
      </c>
    </row>
    <row r="30" customFormat="false" ht="12.75" hidden="false" customHeight="false" outlineLevel="0" collapsed="false">
      <c r="A30" s="493" t="s">
        <v>1569</v>
      </c>
      <c r="B30" s="494" t="n">
        <v>0.005</v>
      </c>
      <c r="C30" s="495" t="n">
        <v>0.05</v>
      </c>
      <c r="D30" s="477" t="str">
        <f aca="false">IF(ISERROR(VLOOKUP($A30,'liste reference'!$A$7:$D$904,2,0)),IF(ISERROR(VLOOKUP($A30,'liste reference'!$B$7:$D$904,1,0)),"",VLOOKUP($A30,'liste reference'!$B$7:$D$904,1,0)),VLOOKUP($A30,'liste reference'!$A$7:$D$904,2,0))</f>
        <v>Ranunculus fluitans</v>
      </c>
      <c r="E30" s="496" t="e">
        <f aca="false">IF(D30="",0,VLOOKUP(D30,D$22:D29,1,0))</f>
        <v>#N/A</v>
      </c>
      <c r="F30" s="497" t="n">
        <f aca="false">($B30*$B$7+$C30*$C$7)/100</f>
        <v>0.0239</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Ranunculus fluitans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1903</v>
      </c>
      <c r="Q30" s="486" t="n">
        <f aca="false">IF(ISTEXT(H30),"",(B30*$B$7/100)+(C30*$C$7/100))</f>
        <v>0.0239</v>
      </c>
      <c r="R30" s="487" t="n">
        <f aca="false">IF(OR(ISTEXT(H30),Q30=0),"",IF(Q30&lt;0.1,1,IF(Q30&lt;1,2,IF(Q30&lt;10,3,IF(Q30&lt;50,4,IF(Q30&gt;=50,5,""))))))</f>
        <v>1</v>
      </c>
      <c r="S30" s="487" t="n">
        <f aca="false">IF(ISERROR(R30*I30),0,R30*I30)</f>
        <v>10</v>
      </c>
      <c r="T30" s="487" t="n">
        <f aca="false">IF(ISERROR(R30*I30*J30),0,R30*I30*J30)</f>
        <v>20</v>
      </c>
      <c r="U30" s="499" t="n">
        <f aca="false">IF(ISERROR(R30*J30),0,R30*J30)</f>
        <v>2</v>
      </c>
      <c r="V30" s="488" t="str">
        <f aca="false">IF(AND(A30="",F30=0),"",IF(F30=0,"Il manque le(s) % de rec. !",""))</f>
        <v/>
      </c>
      <c r="W30" s="489"/>
      <c r="Y30" s="490" t="str">
        <f aca="false">IF(A30="new.cod","NEWCOD",IF(AND((Z30=""),ISTEXT(A30)),A30,IF(Z30="","",INDEX('liste reference'!$A$8:$A$904,Z30))))</f>
        <v>RANFLU</v>
      </c>
      <c r="Z30" s="280" t="n">
        <f aca="false">IF(ISERROR(MATCH(A30,'liste reference'!$A$8:$A$904,0)),IF(ISERROR(MATCH(A30,'liste reference'!$B$8:$B$904,0)),"",(MATCH(A30,'liste reference'!$B$8:$B$904,0))),(MATCH(A30,'liste reference'!$A$8:$A$904,0)))</f>
        <v>456</v>
      </c>
      <c r="AA30" s="491"/>
      <c r="AB30" s="492"/>
      <c r="AC30" s="492"/>
      <c r="BB30" s="280" t="n">
        <f aca="false">IF(A30="","",1)</f>
        <v>1</v>
      </c>
    </row>
    <row r="31" customFormat="false" ht="12.75" hidden="false" customHeight="false" outlineLevel="0" collapsed="false">
      <c r="A31" s="493" t="s">
        <v>2686</v>
      </c>
      <c r="B31" s="494" t="n">
        <v>0.4</v>
      </c>
      <c r="C31" s="495" t="n">
        <v>1.25</v>
      </c>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0.757</v>
      </c>
      <c r="G31" s="479" t="str">
        <f aca="false">IF(A31="","",IF(ISERROR(VLOOKUP($A31,'liste reference'!$A$7:$P$904,13,0)),IF(ISERROR(VLOOKUP($A31,'liste reference'!$B$7:$P$904,12,0)),"    -",VLOOKUP($A31,'liste reference'!$B$7:$P$904,12,0)),VLOOKUP($A31,'liste reference'!$A$7:$P$904,13,0)))</f>
        <v>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Cymbellaceae</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No</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NEWCOD</v>
      </c>
      <c r="Z31" s="280" t="str">
        <f aca="false">IF(ISERROR(MATCH(A31,'liste reference'!$A$8:$A$904,0)),IF(ISERROR(MATCH(A31,'liste reference'!$B$8:$B$904,0)),"",(MATCH(A31,'liste reference'!$B$8:$B$904,0))),(MATCH(A31,'liste reference'!$A$8:$A$904,0)))</f>
        <v/>
      </c>
      <c r="AA31" s="491"/>
      <c r="AB31" s="492" t="s">
        <v>2687</v>
      </c>
      <c r="AC31" s="492"/>
      <c r="BB31" s="280" t="n">
        <f aca="false">IF(A31="","",1)</f>
        <v>1</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ARDECHE</v>
      </c>
      <c r="B84" s="529" t="str">
        <f aca="false">C3</f>
        <v>Saint Julien de Peyrolas</v>
      </c>
      <c r="C84" s="530" t="n">
        <f aca="false">A4</f>
        <v>41515</v>
      </c>
      <c r="D84" s="531" t="n">
        <f aca="false">IF(ISERROR(SUM($T$23:$T$82)/SUM($U$23:$U$82)),"",SUM($T$23:$T$82)/SUM($U$23:$U$82))</f>
        <v>9</v>
      </c>
      <c r="E84" s="532" t="n">
        <f aca="false">N13</f>
        <v>9</v>
      </c>
      <c r="F84" s="529" t="n">
        <f aca="false">N14</f>
        <v>8</v>
      </c>
      <c r="G84" s="529" t="n">
        <f aca="false">N15</f>
        <v>2</v>
      </c>
      <c r="H84" s="529" t="n">
        <f aca="false">N16</f>
        <v>6</v>
      </c>
      <c r="I84" s="529" t="n">
        <f aca="false">N17</f>
        <v>0</v>
      </c>
      <c r="J84" s="533" t="n">
        <f aca="false">N8</f>
        <v>8.75</v>
      </c>
      <c r="K84" s="531" t="n">
        <f aca="false">N9</f>
        <v>2.77263412660235</v>
      </c>
      <c r="L84" s="532" t="n">
        <f aca="false">N10</f>
        <v>5</v>
      </c>
      <c r="M84" s="532" t="n">
        <f aca="false">N11</f>
        <v>13</v>
      </c>
      <c r="N84" s="531" t="n">
        <f aca="false">O8</f>
        <v>1.75</v>
      </c>
      <c r="O84" s="531" t="n">
        <f aca="false">O9</f>
        <v>0.433012701892219</v>
      </c>
      <c r="P84" s="532" t="n">
        <f aca="false">O10</f>
        <v>1</v>
      </c>
      <c r="Q84" s="532" t="n">
        <f aca="false">O11</f>
        <v>2</v>
      </c>
      <c r="R84" s="532" t="n">
        <f aca="false">F21</f>
        <v>4.0136</v>
      </c>
      <c r="S84" s="532" t="n">
        <f aca="false">K11</f>
        <v>0</v>
      </c>
      <c r="T84" s="532" t="n">
        <f aca="false">K12</f>
        <v>5</v>
      </c>
      <c r="U84" s="532" t="n">
        <f aca="false">K13</f>
        <v>0</v>
      </c>
      <c r="V84" s="534" t="n">
        <f aca="false">K14</f>
        <v>0</v>
      </c>
      <c r="W84" s="535" t="n">
        <f aca="false">K15</f>
        <v>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30</v>
      </c>
      <c r="T87" s="280"/>
      <c r="U87" s="280"/>
      <c r="V87" s="280"/>
    </row>
    <row r="88" customFormat="false" ht="12.75" hidden="true" customHeight="false" outlineLevel="0" collapsed="false">
      <c r="P88" s="280"/>
      <c r="Q88" s="280" t="s">
        <v>2691</v>
      </c>
      <c r="R88" s="280"/>
      <c r="S88" s="488" t="n">
        <f aca="false">VLOOKUP((S87),($S$23:$U$82),2,0)</f>
        <v>30</v>
      </c>
      <c r="T88" s="280"/>
      <c r="U88" s="280"/>
      <c r="V88" s="280"/>
    </row>
    <row r="89" customFormat="false" ht="12.75" hidden="true" customHeight="false" outlineLevel="0" collapsed="false">
      <c r="Q89" s="280" t="s">
        <v>2692</v>
      </c>
      <c r="R89" s="280"/>
      <c r="S89" s="488" t="n">
        <f aca="false">VLOOKUP((S87),($S$23:$U$82),3,0)</f>
        <v>3</v>
      </c>
      <c r="T89" s="280"/>
    </row>
    <row r="90" customFormat="false" ht="12.75" hidden="false" customHeight="false" outlineLevel="0" collapsed="false">
      <c r="Q90" s="280" t="s">
        <v>2693</v>
      </c>
      <c r="R90" s="280"/>
      <c r="S90" s="538" t="n">
        <f aca="false">IF(ISERROR(SUM($T$23:$T$82)/SUM($U$23:$U$82)),"",(SUM($T$23:$T$82)-S88)/(SUM($U$23:$U$82)-S89))</f>
        <v>8.82352941176471</v>
      </c>
      <c r="T90" s="280"/>
    </row>
    <row r="91" customFormat="false" ht="12.75" hidden="false" customHeight="false" outlineLevel="0" collapsed="false">
      <c r="Q91" s="487" t="s">
        <v>2694</v>
      </c>
      <c r="R91" s="487"/>
      <c r="S91" s="487" t="str">
        <f aca="false">INDEX('liste reference'!$A$8:$A$904,$T$91)</f>
        <v>SPISPX</v>
      </c>
      <c r="T91" s="280" t="n">
        <f aca="false">IF(ISERROR(MATCH($S$93,'liste reference'!$A$8:$A$904,0)),MATCH($S$93,'liste reference'!$B$8:$B$904,0),(MATCH($S$93,'liste reference'!$A$8:$A$904,0)))</f>
        <v>69</v>
      </c>
      <c r="U91" s="527"/>
    </row>
    <row r="92" customFormat="false" ht="12.75" hidden="false" customHeight="false" outlineLevel="0" collapsed="false">
      <c r="Q92" s="280" t="s">
        <v>2695</v>
      </c>
      <c r="R92" s="280"/>
      <c r="S92" s="280" t="n">
        <f aca="false">MATCH(S87,$S$23:$S$82,0)</f>
        <v>5</v>
      </c>
      <c r="T92" s="280"/>
    </row>
    <row r="93" customFormat="false" ht="12.75" hidden="false" customHeight="false" outlineLevel="0" collapsed="false">
      <c r="Q93" s="487" t="s">
        <v>2696</v>
      </c>
      <c r="R93" s="280"/>
      <c r="S93" s="487" t="str">
        <f aca="false">INDEX($A$23:$A$82,$S$92)</f>
        <v>SPISPX</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2711</v>
      </c>
      <c r="G17" s="577"/>
      <c r="H17" s="576" t="s">
        <v>2711</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2718</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2721</v>
      </c>
    </row>
    <row r="37" customFormat="false" ht="15" hidden="false" customHeight="false" outlineLevel="0" collapsed="false">
      <c r="A37" s="565" t="s">
        <v>2142</v>
      </c>
      <c r="B37" s="566" t="s">
        <v>2722</v>
      </c>
      <c r="C37" s="568"/>
      <c r="D37" s="569"/>
      <c r="F37" s="585" t="s">
        <v>2639</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2014-04-11T17:08:01Z</dcterms:modified>
  <cp:revision>0</cp:revision>
  <dc:subject/>
  <dc:title>Feuille d'aide au calcul de l'IBMR</dc:title>
</cp:coreProperties>
</file>