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<sst xmlns="http://schemas.openxmlformats.org/spreadsheetml/2006/main" count="95" uniqueCount="91">
  <si>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</si>
  <si>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</si>
  <si>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</si>
  <si>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LBOURGOIN LISEBE</t>
  </si>
  <si>
    <t xml:space="preserve">conforme AFNOR T90-395 oct. 2003</t>
  </si>
  <si>
    <t xml:space="preserve">ESTABLET</t>
  </si>
  <si>
    <t xml:space="preserve">ESTABLET A LA CHARCE</t>
  </si>
  <si>
    <t xml:space="preserve">06116625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</si>
  <si>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</si>
  <si>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</si>
  <si>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</si>
  <si>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</si>
  <si>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</si>
  <si>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</si>
  <si>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</si>
  <si>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</si>
  <si>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</si>
  <si>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</si>
  <si>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</si>
  <si>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</si>
  <si>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</si>
  <si>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</si>
  <si>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</si>
  <si>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</si>
  <si>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</si>
  <si>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</si>
  <si>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</si>
  <si>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</si>
  <si>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</si>
  <si>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</si>
  <si>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</si>
  <si>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</si>
  <si>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</si>
  <si>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</si>
  <si>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</si>
  <si>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</si>
  <si>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</si>
  <si>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</si>
  <si>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</si>
  <si>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</si>
  <si>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</si>
  <si>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</si>
  <si>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</si>
  <si>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</si>
  <si>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</si>
  <si>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</si>
  <si>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</si>
  <si>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</si>
  <si>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</si>
  <si>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</si>
  <si>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</si>
  <si>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</si>
  <si>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</si>
  <si>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</si>
  <si>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</si>
  <si>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</si>
  <si>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</si>
  <si>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</si>
  <si>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</si>
  <si>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</si>
  <si>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</si>
  <si>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</si>
  <si>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</si>
  <si>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</si>
  <si>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</si>
  <si>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</si>
  <si>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</si>
  <si>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</si>
  <si>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</si>
  <si>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</si>
  <si>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</si>
  <si>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</si>
  <si>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</si>
  <si>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</si>
  <si>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</si>
  <si>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</si>
  <si>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</si>
  <si>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BATSPX</t>
  </si>
  <si>
    <t xml:space="preserve">TOYSPX</t>
  </si>
  <si>
    <t xml:space="preserve">PELEND</t>
  </si>
  <si>
    <t xml:space="preserve">DREFLU</t>
  </si>
  <si>
    <t xml:space="preserve">EUCVER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</si>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</sst>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i val="true"/>
      <sz val="11"/>
      <color rgb="FF000000"/>
      <name val="Calibri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8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2" fillId="7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2" fillId="7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2" fillId="6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3" fillId="13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9720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ESTAC_21-05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41780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</v>
      </c>
      <c r="M5" s="53"/>
      <c r="N5" s="54" t="s">
        <v>16</v>
      </c>
      <c r="O5" s="55" t="n">
        <v>15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14.3333333333333</v>
      </c>
      <c r="O8" s="84" t="n">
        <f aca="false">IF(ISERROR(AVERAGE(J23:J82)),"      -",AVERAGE(J23:J82))</f>
        <v>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0.8</v>
      </c>
      <c r="C9" s="87" t="n">
        <v>0.73</v>
      </c>
      <c r="D9" s="88"/>
      <c r="E9" s="88"/>
      <c r="F9" s="89" t="n">
        <f aca="false">($B9*$B$7+$C9*$C$7)/100</f>
        <v>0.786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1.24721912892465</v>
      </c>
      <c r="O9" s="84" t="n">
        <f aca="false">IF(ISERROR(STDEVP(J23:J82)),"      -",STDEVP(J23:J82))</f>
        <v>0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13</v>
      </c>
      <c r="O10" s="106" t="n">
        <f aca="false">MIN(J23:J82)</f>
        <v>2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16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0.79</v>
      </c>
      <c r="C12" s="119" t="n">
        <v>0.71</v>
      </c>
      <c r="D12" s="111"/>
      <c r="E12" s="111"/>
      <c r="F12" s="112" t="n">
        <f aca="false">($B12*$B$7+$C12*$C$7)/100</f>
        <v>0.774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0.01</v>
      </c>
      <c r="C13" s="119" t="n">
        <v>0.02</v>
      </c>
      <c r="D13" s="111"/>
      <c r="E13" s="111"/>
      <c r="F13" s="112" t="n">
        <f aca="false">($B13*$B$7+$C13*$C$7)/100</f>
        <v>0.012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3</v>
      </c>
      <c r="L13" s="116"/>
      <c r="M13" s="127" t="s">
        <v>41</v>
      </c>
      <c r="N13" s="128" t="n">
        <f aca="false">COUNTIF(F23:F82,"&gt;0")</f>
        <v>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0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0.8</v>
      </c>
      <c r="C17" s="119" t="n">
        <v>0.73</v>
      </c>
      <c r="D17" s="111"/>
      <c r="E17" s="111"/>
      <c r="F17" s="143"/>
      <c r="G17" s="112" t="n">
        <f aca="false">($B17*$B$7+$C17*$C$7)/100</f>
        <v>0.786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0.786</v>
      </c>
      <c r="G19" s="156" t="n">
        <f aca="false">SUM(G16:G18)</f>
        <v>0.786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0.8</v>
      </c>
      <c r="C20" s="166" t="n">
        <f aca="false">SUM(C23:C82)</f>
        <v>0.73</v>
      </c>
      <c r="D20" s="167"/>
      <c r="E20" s="168" t="s">
        <v>53</v>
      </c>
      <c r="F20" s="169" t="n">
        <f aca="false">($B20*$B$7+$C20*$C$7)/100</f>
        <v>0.786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0.64</v>
      </c>
      <c r="C21" s="179" t="n">
        <f aca="false">C20*C7/100</f>
        <v>0.146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0.786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5" hidden="false" customHeight="true" outlineLevel="0" collapsed="false">
      <c r="A23" s="204" t="s">
        <v>77</v>
      </c>
      <c r="B23" s="205" t="n">
        <v>0.05</v>
      </c>
      <c r="C23" s="205" t="n">
        <v>0.2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Batrachospermum sp.</v>
      </c>
      <c r="E23" s="206" t="e">
        <f aca="false">IF(D23="",0,VLOOKUP(D23,D$22:D22,1,0))</f>
        <v>#N/A</v>
      </c>
      <c r="F23" s="207" t="n">
        <f aca="false">($B23*$B$7+$C23*$C$7)/100</f>
        <v>0.08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Batrachospermum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1155</v>
      </c>
      <c r="Q23" s="215" t="n">
        <f aca="false">IF(ISTEXT(H23),"",(B23*$B$7/100)+(C23*$C$7/100))</f>
        <v>0.08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16</v>
      </c>
      <c r="T23" s="216" t="n">
        <f aca="false">IF(ISERROR(R23*I23*J23),0,R23*I23*J23)</f>
        <v>32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BATSPX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7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true" outlineLevel="0" collapsed="false">
      <c r="A24" s="204" t="s">
        <v>16</v>
      </c>
      <c r="B24" s="205" t="n">
        <v>0.642</v>
      </c>
      <c r="C24" s="205" t="n">
        <v>0.3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Phormidium sp.</v>
      </c>
      <c r="E24" s="222" t="e">
        <f aca="false">IF(D24="",0,VLOOKUP(D24,D$22:D23,1,0))</f>
        <v>#N/A</v>
      </c>
      <c r="F24" s="223" t="n">
        <f aca="false">($B24*$B$7+$C24*$C$7)/100</f>
        <v>0.5736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13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Phormidium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6414</v>
      </c>
      <c r="Q24" s="215" t="n">
        <f aca="false">IF(ISTEXT(H24),"",(B24*$B$7/100)+(C24*$C$7/100))</f>
        <v>0.5736</v>
      </c>
      <c r="R24" s="216" t="n">
        <f aca="false">IF(OR(ISTEXT(H24),Q24=0),"",IF(Q24&lt;0.1,1,IF(Q24&lt;1,2,IF(Q24&lt;10,3,IF(Q24&lt;50,4,IF(Q24&gt;=50,5,""))))))</f>
        <v>2</v>
      </c>
      <c r="S24" s="216" t="n">
        <f aca="false">IF(ISERROR(R24*I24),0,R24*I24)</f>
        <v>26</v>
      </c>
      <c r="T24" s="216" t="n">
        <f aca="false">IF(ISERROR(R24*I24*J24),0,R24*I24*J24)</f>
        <v>52</v>
      </c>
      <c r="U24" s="225" t="n">
        <f aca="false">IF(ISERROR(R24*J24),0,R24*J24)</f>
        <v>4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PHOSPX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57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true" outlineLevel="0" collapsed="false">
      <c r="A25" s="204" t="s">
        <v>78</v>
      </c>
      <c r="B25" s="205" t="n">
        <v>0.098</v>
      </c>
      <c r="C25" s="205" t="n">
        <v>0.21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Tolypothrix sp.</v>
      </c>
      <c r="E25" s="222" t="e">
        <f aca="false">IF(D25="",0,VLOOKUP(D25,D$22:D24,1,0))</f>
        <v>#N/A</v>
      </c>
      <c r="F25" s="223" t="n">
        <f aca="false">($B25*$B$7+$C25*$C$7)/100</f>
        <v>0.1204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Tolypothrix sp.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6304</v>
      </c>
      <c r="Q25" s="215" t="n">
        <f aca="false">IF(ISTEXT(H25),"",(B25*$B$7/100)+(C25*$C$7/100))</f>
        <v>0.1204</v>
      </c>
      <c r="R25" s="216" t="n">
        <f aca="false">IF(OR(ISTEXT(H25),Q25=0),"",IF(Q25&lt;0.1,1,IF(Q25&lt;1,2,IF(Q25&lt;10,3,IF(Q25&lt;50,4,IF(Q25&gt;=50,5,""))))))</f>
        <v>2</v>
      </c>
      <c r="S25" s="216" t="n">
        <f aca="false">IF(ISERROR(R25*I25),0,R25*I25)</f>
        <v>0</v>
      </c>
      <c r="T25" s="216" t="n">
        <f aca="false">IF(ISERROR(R25*I25*J25),0,R25*I25*J25)</f>
        <v>0</v>
      </c>
      <c r="U25" s="225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TOYSPX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79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true" outlineLevel="0" collapsed="false">
      <c r="A26" s="204" t="s">
        <v>79</v>
      </c>
      <c r="B26" s="205" t="n">
        <v>0</v>
      </c>
      <c r="C26" s="205" t="n">
        <v>0.01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Pellia endiviifolia</v>
      </c>
      <c r="E26" s="222" t="e">
        <f aca="false">IF(D26="",0,VLOOKUP(D26,D$22:D25,1,0))</f>
        <v>#N/A</v>
      </c>
      <c r="F26" s="223" t="n">
        <f aca="false">($B26*$B$7+$C26*$C$7)/100</f>
        <v>0.002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BRh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4</v>
      </c>
      <c r="I26" s="210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0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Pellia endiviifolia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1197</v>
      </c>
      <c r="Q26" s="215" t="n">
        <f aca="false">IF(ISTEXT(H26),"",(B26*$B$7/100)+(C26*$C$7/100))</f>
        <v>0.002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0</v>
      </c>
      <c r="T26" s="216" t="n">
        <f aca="false">IF(ISERROR(R26*I26*J26),0,R26*I26*J26)</f>
        <v>0</v>
      </c>
      <c r="U26" s="225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PELEND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120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true" outlineLevel="0" collapsed="false">
      <c r="A27" s="204" t="s">
        <v>80</v>
      </c>
      <c r="B27" s="205" t="n">
        <v>0.01</v>
      </c>
      <c r="C27" s="205" t="n">
        <v>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Drepanocladus fluitans</v>
      </c>
      <c r="E27" s="222" t="e">
        <f aca="false">IF(D27="",0,VLOOKUP(D27,D$22:D26,1,0))</f>
        <v>#N/A</v>
      </c>
      <c r="F27" s="223" t="n">
        <f aca="false">($B27*$B$7+$C27*$C$7)/100</f>
        <v>0.008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14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Drepanocladus fluitans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25779</v>
      </c>
      <c r="Q27" s="215" t="n">
        <f aca="false">IF(ISTEXT(H27),"",(B27*$B$7/100)+(C27*$C$7/100))</f>
        <v>0.008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14</v>
      </c>
      <c r="T27" s="216" t="n">
        <f aca="false">IF(ISERROR(R27*I27*J27),0,R27*I27*J27)</f>
        <v>28</v>
      </c>
      <c r="U27" s="225" t="n">
        <f aca="false">IF(ISERROR(R27*J27),0,R27*J27)</f>
        <v>2</v>
      </c>
      <c r="V27" s="217" t="str">
        <f aca="false">IF(AND(A27="",F27=0),"",IF(F27=0,"Il manque le(s) % de rec. !",""))</f>
        <v/>
      </c>
      <c r="W27" s="218"/>
      <c r="Y27" s="219" t="str">
        <f aca="false">IF(A27="new.cod","NEWCOD",IF(AND((Z27=""),ISTEXT(A27)),A27,IF(Z27="","",INDEX('[2]liste reference'!$A$8:$A$904,Z27))))</f>
        <v>DREFLU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189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true" outlineLevel="0" collapsed="false">
      <c r="A28" s="204" t="s">
        <v>81</v>
      </c>
      <c r="B28" s="205" t="n">
        <v>0</v>
      </c>
      <c r="C28" s="205" t="n">
        <v>0.01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Eucladium verticillatum</v>
      </c>
      <c r="E28" s="222" t="e">
        <f aca="false">IF(D28="",0,VLOOKUP(D28,D$22:D27,1,0))</f>
        <v>#N/A</v>
      </c>
      <c r="F28" s="223" t="n">
        <f aca="false">($B28*$B$7+$C28*$C$7)/100</f>
        <v>0.002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Eucladium verticillatum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19654</v>
      </c>
      <c r="Q28" s="215" t="n">
        <f aca="false">IF(ISTEXT(H28),"",(B28*$B$7/100)+(C28*$C$7/100))</f>
        <v>0.002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0</v>
      </c>
      <c r="T28" s="216" t="n">
        <f aca="false">IF(ISERROR(R28*I28*J28),0,R28*I28*J28)</f>
        <v>0</v>
      </c>
      <c r="U28" s="225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EUCVER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191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6"/>
      <c r="B29" s="227"/>
      <c r="C29" s="228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2" t="n">
        <f aca="false">IF(D29="",0,VLOOKUP(D29,D$22:D28,1,0))</f>
        <v>0</v>
      </c>
      <c r="F29" s="223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4"/>
      <c r="M29" s="224"/>
      <c r="N29" s="224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5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6"/>
      <c r="B30" s="227"/>
      <c r="C30" s="228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2" t="n">
        <f aca="false">IF(D30="",0,VLOOKUP(D30,D$22:D29,1,0))</f>
        <v>0</v>
      </c>
      <c r="F30" s="223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4"/>
      <c r="M30" s="224"/>
      <c r="N30" s="224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5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6"/>
      <c r="B31" s="227"/>
      <c r="C31" s="228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2" t="n">
        <f aca="false">IF(D31="",0,VLOOKUP(D31,D$22:D30,1,0))</f>
        <v>0</v>
      </c>
      <c r="F31" s="223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4"/>
      <c r="M31" s="224"/>
      <c r="N31" s="224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5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6"/>
      <c r="B32" s="227"/>
      <c r="C32" s="228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2" t="n">
        <f aca="false">IF(D32="",0,VLOOKUP(D32,D$22:D31,1,0))</f>
        <v>0</v>
      </c>
      <c r="F32" s="223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4"/>
      <c r="M32" s="224"/>
      <c r="N32" s="224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5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6"/>
      <c r="B33" s="227"/>
      <c r="C33" s="228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2" t="n">
        <f aca="false">IF(D33="",0,VLOOKUP(D33,D$22:D32,1,0))</f>
        <v>0</v>
      </c>
      <c r="F33" s="223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4"/>
      <c r="M33" s="224"/>
      <c r="N33" s="224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5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6"/>
      <c r="B34" s="227"/>
      <c r="C34" s="228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2" t="n">
        <f aca="false">IF(D34="",0,VLOOKUP(D34,D$22:D33,1,0))</f>
        <v>0</v>
      </c>
      <c r="F34" s="229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4"/>
      <c r="M34" s="224"/>
      <c r="N34" s="224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5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6"/>
      <c r="B35" s="227"/>
      <c r="C35" s="228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2" t="n">
        <f aca="false">IF(D35="",0,VLOOKUP(D35,D$22:D34,1,0))</f>
        <v>0</v>
      </c>
      <c r="F35" s="229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4"/>
      <c r="M35" s="224"/>
      <c r="N35" s="224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5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6"/>
      <c r="B36" s="227"/>
      <c r="C36" s="228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2" t="n">
        <f aca="false">IF(D36="",0,VLOOKUP(D36,D$22:D35,1,0))</f>
        <v>0</v>
      </c>
      <c r="F36" s="229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4"/>
      <c r="M36" s="224"/>
      <c r="N36" s="224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5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6"/>
      <c r="B37" s="227"/>
      <c r="C37" s="228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2" t="n">
        <f aca="false">IF(D37="",0,VLOOKUP(D37,D$22:D36,1,0))</f>
        <v>0</v>
      </c>
      <c r="F37" s="229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6"/>
      <c r="B38" s="227"/>
      <c r="C38" s="228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2" t="n">
        <f aca="false">IF(D38="",0,VLOOKUP(D38,D$22:D37,1,0))</f>
        <v>0</v>
      </c>
      <c r="F38" s="229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6"/>
      <c r="B39" s="227"/>
      <c r="C39" s="228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2" t="n">
        <f aca="false">IF(D39="",0,VLOOKUP(D39,D$22:D38,1,0))</f>
        <v>0</v>
      </c>
      <c r="F39" s="229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6"/>
      <c r="B40" s="227"/>
      <c r="C40" s="228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2" t="n">
        <f aca="false">IF(D40="",0,VLOOKUP(D40,D$22:D33,1,0))</f>
        <v>0</v>
      </c>
      <c r="F40" s="229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6"/>
      <c r="B41" s="227"/>
      <c r="C41" s="228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2" t="n">
        <f aca="false">IF(D41="",0,VLOOKUP(D41,D$22:D33,1,0))</f>
        <v>0</v>
      </c>
      <c r="F41" s="229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6"/>
      <c r="B42" s="227"/>
      <c r="C42" s="228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2" t="n">
        <f aca="false">IF(D42="",0,VLOOKUP(D42,D$22:D34,1,0))</f>
        <v>0</v>
      </c>
      <c r="F42" s="229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6"/>
      <c r="B43" s="227"/>
      <c r="C43" s="228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2" t="n">
        <f aca="false">IF(D43="",0,VLOOKUP(D43,D$22:D42,1,0))</f>
        <v>0</v>
      </c>
      <c r="F43" s="229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6"/>
      <c r="B44" s="227"/>
      <c r="C44" s="228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2" t="n">
        <f aca="false">IF(D44="",0,VLOOKUP(D44,D$22:D43,1,0))</f>
        <v>0</v>
      </c>
      <c r="F44" s="229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6"/>
      <c r="B45" s="227"/>
      <c r="C45" s="228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2" t="n">
        <f aca="false">IF(D45="",0,VLOOKUP(D45,D$22:D44,1,0))</f>
        <v>0</v>
      </c>
      <c r="F45" s="229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6"/>
      <c r="B46" s="227"/>
      <c r="C46" s="228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2" t="n">
        <f aca="false">IF(D46="",0,VLOOKUP(D46,D$22:D45,1,0))</f>
        <v>0</v>
      </c>
      <c r="F46" s="229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6"/>
      <c r="B47" s="227"/>
      <c r="C47" s="228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2" t="n">
        <f aca="false">IF(D47="",0,VLOOKUP(D47,D$22:D46,1,0))</f>
        <v>0</v>
      </c>
      <c r="F47" s="229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6"/>
      <c r="B48" s="227"/>
      <c r="C48" s="228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2" t="n">
        <f aca="false">IF(D48="",0,VLOOKUP(D48,D$22:D47,1,0))</f>
        <v>0</v>
      </c>
      <c r="F48" s="229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6"/>
      <c r="B49" s="227"/>
      <c r="C49" s="228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2" t="n">
        <f aca="false">IF(D49="",0,VLOOKUP(D49,D$22:D48,1,0))</f>
        <v>0</v>
      </c>
      <c r="F49" s="229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6"/>
      <c r="B50" s="227"/>
      <c r="C50" s="228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2" t="n">
        <f aca="false">IF(D50="",0,VLOOKUP(D50,D$22:D49,1,0))</f>
        <v>0</v>
      </c>
      <c r="F50" s="229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6"/>
      <c r="B51" s="227"/>
      <c r="C51" s="228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2" t="n">
        <f aca="false">IF(D51="",0,VLOOKUP(D51,D$21:D50,1,0))</f>
        <v>0</v>
      </c>
      <c r="F51" s="229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4"/>
      <c r="M51" s="224"/>
      <c r="N51" s="224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X51" s="230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6"/>
      <c r="B52" s="227"/>
      <c r="C52" s="228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2" t="n">
        <f aca="false">IF(D52="",0,VLOOKUP(D52,D$22:D51,1,0))</f>
        <v>0</v>
      </c>
      <c r="F52" s="229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4"/>
      <c r="M52" s="224"/>
      <c r="N52" s="224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6"/>
      <c r="B53" s="227"/>
      <c r="C53" s="228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2" t="n">
        <f aca="false">IF(D53="",0,VLOOKUP(D53,D$22:D52,1,0))</f>
        <v>0</v>
      </c>
      <c r="F53" s="229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31"/>
      <c r="M53" s="231"/>
      <c r="N53" s="231"/>
      <c r="O53" s="213"/>
      <c r="P53" s="232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6"/>
      <c r="B54" s="227"/>
      <c r="C54" s="228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2" t="n">
        <f aca="false">IF(D54="",0,VLOOKUP(D54,D$22:D53,1,0))</f>
        <v>0</v>
      </c>
      <c r="F54" s="229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31"/>
      <c r="M54" s="231"/>
      <c r="N54" s="231"/>
      <c r="O54" s="213"/>
      <c r="P54" s="232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6"/>
      <c r="B55" s="227"/>
      <c r="C55" s="228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2" t="n">
        <f aca="false">IF(D55="",0,VLOOKUP(D55,D$22:D54,1,0))</f>
        <v>0</v>
      </c>
      <c r="F55" s="229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6"/>
      <c r="B56" s="227"/>
      <c r="C56" s="228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2" t="n">
        <f aca="false">IF(D56="",0,VLOOKUP(D56,D$22:D55,1,0))</f>
        <v>0</v>
      </c>
      <c r="F56" s="229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X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true" outlineLevel="0" collapsed="false">
      <c r="A57" s="233"/>
      <c r="B57" s="234"/>
      <c r="C57" s="235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2" t="n">
        <f aca="false">IF(D57="",0,VLOOKUP(D57,D$22:D56,1,0))</f>
        <v>0</v>
      </c>
      <c r="F57" s="229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true" outlineLevel="0" collapsed="false">
      <c r="A58" s="233"/>
      <c r="B58" s="234"/>
      <c r="C58" s="235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2" t="n">
        <f aca="false">IF(D58="",0,VLOOKUP(D58,D$22:D57,1,0))</f>
        <v>0</v>
      </c>
      <c r="F58" s="229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true" outlineLevel="0" collapsed="false">
      <c r="A59" s="233"/>
      <c r="B59" s="234"/>
      <c r="C59" s="235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2" t="n">
        <f aca="false">IF(D59="",0,VLOOKUP(D59,D$22:D58,1,0))</f>
        <v>0</v>
      </c>
      <c r="F59" s="229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24"/>
      <c r="M59" s="224"/>
      <c r="N59" s="224"/>
      <c r="O59" s="213"/>
      <c r="P59" s="21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true" outlineLevel="0" collapsed="false">
      <c r="A60" s="236"/>
      <c r="B60" s="234"/>
      <c r="C60" s="235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2" t="n">
        <f aca="false">IF(D60="",0,VLOOKUP(D60,D$22:D59,1,0))</f>
        <v>0</v>
      </c>
      <c r="F60" s="229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24"/>
      <c r="M60" s="224"/>
      <c r="N60" s="224"/>
      <c r="O60" s="213"/>
      <c r="P60" s="21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true" outlineLevel="0" collapsed="false">
      <c r="A61" s="237"/>
      <c r="B61" s="234"/>
      <c r="C61" s="235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2" t="n">
        <f aca="false">IF(D61="",0,VLOOKUP(D61,D$22:D60,1,0))</f>
        <v>0</v>
      </c>
      <c r="F61" s="229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3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true" outlineLevel="0" collapsed="false">
      <c r="A62" s="237"/>
      <c r="B62" s="234"/>
      <c r="C62" s="235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2" t="n">
        <f aca="false">IF(D62="",0,VLOOKUP(D62,D$22:D61,1,0))</f>
        <v>0</v>
      </c>
      <c r="F62" s="229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6"/>
      <c r="B63" s="227"/>
      <c r="C63" s="228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2" t="n">
        <f aca="false">IF(D63="",0,VLOOKUP(D63,D$22:D62,1,0))</f>
        <v>0</v>
      </c>
      <c r="F63" s="229" t="n">
        <f aca="false">($B63*$B$7+$C63*$C$7)/100</f>
        <v>0</v>
      </c>
      <c r="G63" s="239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40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6"/>
      <c r="B64" s="227"/>
      <c r="C64" s="228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2" t="n">
        <f aca="false">IF(D64="",0,VLOOKUP(D64,D$22:D52,1,0))</f>
        <v>0</v>
      </c>
      <c r="F64" s="229" t="n">
        <f aca="false">($B64*$B$7+$C64*$C$7)/100</f>
        <v>0</v>
      </c>
      <c r="G64" s="241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42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6"/>
      <c r="B65" s="227"/>
      <c r="C65" s="228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2" t="n">
        <f aca="false">IF(D65="",0,VLOOKUP(D65,D$22:D53,1,0))</f>
        <v>0</v>
      </c>
      <c r="F65" s="229" t="n">
        <f aca="false">($B65*$B$7+$C65*$C$7)/100</f>
        <v>0</v>
      </c>
      <c r="G65" s="241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42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6"/>
      <c r="B66" s="227"/>
      <c r="C66" s="228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2" t="n">
        <f aca="false">IF(D66="",0,VLOOKUP(D66,D$22:D51,1,0))</f>
        <v>0</v>
      </c>
      <c r="F66" s="229" t="n">
        <f aca="false">($B66*$B$7+$C66*$C$7)/100</f>
        <v>0</v>
      </c>
      <c r="G66" s="241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42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6"/>
      <c r="B67" s="227"/>
      <c r="C67" s="228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2" t="n">
        <f aca="false">IF(D67="",0,VLOOKUP(D67,D$22:D52,1,0))</f>
        <v>0</v>
      </c>
      <c r="F67" s="229" t="n">
        <f aca="false">($B67*$B$7+$C67*$C$7)/100</f>
        <v>0</v>
      </c>
      <c r="G67" s="241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42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6"/>
      <c r="B68" s="227"/>
      <c r="C68" s="228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2" t="n">
        <f aca="false">IF(D68="",0,VLOOKUP(D68,D$22:D53,1,0))</f>
        <v>0</v>
      </c>
      <c r="F68" s="229" t="n">
        <f aca="false">($B68*$B$7+$C68*$C$7)/100</f>
        <v>0</v>
      </c>
      <c r="G68" s="241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42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6"/>
      <c r="B69" s="227"/>
      <c r="C69" s="228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2" t="n">
        <f aca="false">IF(D69="",0,VLOOKUP(D69,D$22:D54,1,0))</f>
        <v>0</v>
      </c>
      <c r="F69" s="229" t="n">
        <f aca="false">($B69*$B$7+$C69*$C$7)/100</f>
        <v>0</v>
      </c>
      <c r="G69" s="241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42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6"/>
      <c r="B70" s="227"/>
      <c r="C70" s="228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2" t="n">
        <f aca="false">IF(D70="",0,VLOOKUP(D70,D$22:D55,1,0))</f>
        <v>0</v>
      </c>
      <c r="F70" s="229" t="n">
        <f aca="false">($B70*$B$7+$C70*$C$7)/100</f>
        <v>0</v>
      </c>
      <c r="G70" s="241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42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6"/>
      <c r="B71" s="227"/>
      <c r="C71" s="228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2" t="n">
        <f aca="false">IF(D71="",0,VLOOKUP(D71,D$22:D56,1,0))</f>
        <v>0</v>
      </c>
      <c r="F71" s="229" t="n">
        <f aca="false">($B71*$B$7+$C71*$C$7)/100</f>
        <v>0</v>
      </c>
      <c r="G71" s="241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42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6"/>
      <c r="B72" s="227"/>
      <c r="C72" s="228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2" t="n">
        <f aca="false">IF(D72="",0,VLOOKUP(D72,D$22:D57,1,0))</f>
        <v>0</v>
      </c>
      <c r="F72" s="229" t="n">
        <f aca="false">($B72*$B$7+$C72*$C$7)/100</f>
        <v>0</v>
      </c>
      <c r="G72" s="241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42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6"/>
      <c r="B73" s="227"/>
      <c r="C73" s="228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2" t="n">
        <f aca="false">IF(D73="",0,VLOOKUP(D73,D$22:D57,1,0))</f>
        <v>0</v>
      </c>
      <c r="F73" s="229" t="n">
        <f aca="false">($B73*$B$7+$C73*$C$7)/100</f>
        <v>0</v>
      </c>
      <c r="G73" s="241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42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6"/>
      <c r="B74" s="227"/>
      <c r="C74" s="228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2" t="n">
        <f aca="false">IF(D74="",0,VLOOKUP(D74,D$22:D58,1,0))</f>
        <v>0</v>
      </c>
      <c r="F74" s="229" t="n">
        <f aca="false">($B74*$B$7+$C74*$C$7)/100</f>
        <v>0</v>
      </c>
      <c r="G74" s="241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42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6"/>
      <c r="B75" s="227"/>
      <c r="C75" s="228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2" t="n">
        <f aca="false">IF(D75="",0,VLOOKUP(D75,D$22:D59,1,0))</f>
        <v>0</v>
      </c>
      <c r="F75" s="229" t="n">
        <f aca="false">($B75*$B$7+$C75*$C$7)/100</f>
        <v>0</v>
      </c>
      <c r="G75" s="241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42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6"/>
      <c r="B76" s="227"/>
      <c r="C76" s="228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2" t="n">
        <f aca="false">IF(D76="",0,VLOOKUP(D76,D$22:D59,1,0))</f>
        <v>0</v>
      </c>
      <c r="F76" s="229" t="n">
        <f aca="false">($B76*$B$7+$C76*$C$7)/100</f>
        <v>0</v>
      </c>
      <c r="G76" s="241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42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6"/>
      <c r="B77" s="227"/>
      <c r="C77" s="228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2" t="n">
        <f aca="false">IF(D77="",0,VLOOKUP(D77,D$22:D75,1,0))</f>
        <v>0</v>
      </c>
      <c r="F77" s="229" t="n">
        <f aca="false">($B77*$B$7+$C77*$C$7)/100</f>
        <v>0</v>
      </c>
      <c r="G77" s="241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42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6"/>
      <c r="B78" s="227"/>
      <c r="C78" s="228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2" t="n">
        <f aca="false">IF(D78="",0,VLOOKUP(D78,D$22:D75,1,0))</f>
        <v>0</v>
      </c>
      <c r="F78" s="229" t="n">
        <f aca="false">($B78*$B$7+$C78*$C$7)/100</f>
        <v>0</v>
      </c>
      <c r="G78" s="241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42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6"/>
      <c r="B79" s="227"/>
      <c r="C79" s="228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2" t="n">
        <f aca="false">IF(D79="",0,VLOOKUP(D79,D$22:D75,1,0))</f>
        <v>0</v>
      </c>
      <c r="F79" s="229" t="n">
        <f aca="false">($B79*$B$7+$C79*$C$7)/100</f>
        <v>0</v>
      </c>
      <c r="G79" s="241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42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6"/>
      <c r="B80" s="227"/>
      <c r="C80" s="228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2" t="n">
        <f aca="false">IF(D80="",0,VLOOKUP(D80,D$22:D79,1,0))</f>
        <v>0</v>
      </c>
      <c r="F80" s="229" t="n">
        <f aca="false">($B80*$B$7+$C80*$C$7)/100</f>
        <v>0</v>
      </c>
      <c r="G80" s="241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42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6"/>
      <c r="B81" s="227"/>
      <c r="C81" s="228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2" t="n">
        <f aca="false">IF(D81="",0,VLOOKUP(D81,D$21:D80,1,0))</f>
        <v>0</v>
      </c>
      <c r="F81" s="229" t="n">
        <f aca="false">($B81*$B$7+$C81*$C$7)/100</f>
        <v>0</v>
      </c>
      <c r="G81" s="241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42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1"/>
      <c r="M81" s="231"/>
      <c r="N81" s="231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43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4"/>
      <c r="B82" s="245"/>
      <c r="C82" s="246"/>
      <c r="D82" s="247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8" t="n">
        <f aca="false">IF(D82="",0,VLOOKUP(D82,D$20:D80,1,0))</f>
        <v>0</v>
      </c>
      <c r="F82" s="249" t="n">
        <f aca="false">($B82*$B$7+$C82*$C$7)/100</f>
        <v>0</v>
      </c>
      <c r="G82" s="250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51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52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53"/>
      <c r="M82" s="253"/>
      <c r="N82" s="253"/>
      <c r="O82" s="254"/>
      <c r="P82" s="255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6"/>
      <c r="X82" s="257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8" t="s">
        <v>82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9"/>
      <c r="Q83" s="259"/>
      <c r="R83" s="259"/>
      <c r="S83" s="259"/>
      <c r="T83" s="10"/>
      <c r="U83" s="10"/>
      <c r="V83" s="259"/>
      <c r="W83" s="259"/>
      <c r="X83" s="259"/>
      <c r="Y83" s="260"/>
      <c r="Z83" s="260"/>
      <c r="AA83" s="260"/>
      <c r="AB83" s="261"/>
      <c r="AC83" s="261"/>
      <c r="AD83" s="261"/>
    </row>
    <row r="84" customFormat="false" ht="12.75" hidden="true" customHeight="false" outlineLevel="0" collapsed="false">
      <c r="A84" s="262" t="str">
        <f aca="false">A3</f>
        <v>ESTABLET</v>
      </c>
      <c r="B84" s="263" t="str">
        <f aca="false">C3</f>
        <v>ESTABLET A LA CHARCE</v>
      </c>
      <c r="C84" s="264" t="n">
        <f aca="false">A4</f>
        <v>41780</v>
      </c>
      <c r="D84" s="265" t="n">
        <f aca="false">IF(ISERROR(SUM($T$23:$T$82)/SUM($U$23:$U$82)),"",SUM($T$23:$T$82)/SUM($U$23:$U$82))</f>
        <v>14</v>
      </c>
      <c r="E84" s="266" t="n">
        <f aca="false">N13</f>
        <v>6</v>
      </c>
      <c r="F84" s="263" t="n">
        <f aca="false">N14</f>
        <v>3</v>
      </c>
      <c r="G84" s="263" t="n">
        <f aca="false">N15</f>
        <v>0</v>
      </c>
      <c r="H84" s="263" t="n">
        <f aca="false">N16</f>
        <v>3</v>
      </c>
      <c r="I84" s="263" t="n">
        <f aca="false">N17</f>
        <v>0</v>
      </c>
      <c r="J84" s="267" t="n">
        <f aca="false">N8</f>
        <v>14.3333333333333</v>
      </c>
      <c r="K84" s="265" t="n">
        <f aca="false">N9</f>
        <v>1.24721912892465</v>
      </c>
      <c r="L84" s="266" t="n">
        <f aca="false">N10</f>
        <v>13</v>
      </c>
      <c r="M84" s="266" t="n">
        <f aca="false">N11</f>
        <v>16</v>
      </c>
      <c r="N84" s="265" t="n">
        <f aca="false">O8</f>
        <v>2</v>
      </c>
      <c r="O84" s="265" t="n">
        <f aca="false">O9</f>
        <v>0</v>
      </c>
      <c r="P84" s="266" t="n">
        <f aca="false">O10</f>
        <v>2</v>
      </c>
      <c r="Q84" s="266" t="n">
        <f aca="false">O11</f>
        <v>2</v>
      </c>
      <c r="R84" s="266" t="n">
        <f aca="false">F21</f>
        <v>0.786</v>
      </c>
      <c r="S84" s="266" t="n">
        <f aca="false">K11</f>
        <v>0</v>
      </c>
      <c r="T84" s="266" t="n">
        <f aca="false">K12</f>
        <v>3</v>
      </c>
      <c r="U84" s="266" t="n">
        <f aca="false">K13</f>
        <v>3</v>
      </c>
      <c r="V84" s="268" t="n">
        <f aca="false">K14</f>
        <v>0</v>
      </c>
      <c r="W84" s="269" t="n">
        <f aca="false">K15</f>
        <v>0</v>
      </c>
      <c r="Z84" s="270"/>
      <c r="AA84" s="270"/>
      <c r="AB84" s="261"/>
      <c r="AC84" s="261"/>
      <c r="AD84" s="261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71" t="s">
        <v>83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7" t="n">
        <f aca="false">VLOOKUP(MAX($S$23:$S$82),($S$23:$U$82),1,0)</f>
        <v>26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7" t="n">
        <f aca="false">VLOOKUP((S87),($S$23:$U$82),2,0)</f>
        <v>52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72" t="n">
        <f aca="false">IF(ISERROR(SUM($T$23:$T$82)/SUM($U$23:$U$82)),"",(SUM($T$23:$T$82)-S88)/(SUM($U$23:$U$82)-S89))</f>
        <v>15</v>
      </c>
      <c r="T90" s="10"/>
    </row>
    <row r="91" customFormat="false" ht="12.75" hidden="false" customHeight="false" outlineLevel="0" collapsed="false">
      <c r="Q91" s="216" t="s">
        <v>88</v>
      </c>
      <c r="R91" s="216"/>
      <c r="S91" s="216" t="str">
        <f aca="false">INDEX('[2]liste reference'!$A$8:$A$904,$T$91)</f>
        <v>PHOSPX</v>
      </c>
      <c r="T91" s="10" t="n">
        <f aca="false">IF(ISERROR(MATCH($S$93,'[2]liste reference'!$A$8:$A$904,0)),MATCH($S$93,'[2]liste reference'!$B$8:$B$904,0),(MATCH($S$93,'[2]liste reference'!$A$8:$A$904,0)))</f>
        <v>57</v>
      </c>
      <c r="U91" s="261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90</v>
      </c>
      <c r="R93" s="10"/>
      <c r="S93" s="216" t="str">
        <f aca="false">INDEX($A$23:$A$82,$S$92)</f>
        <v>PHOSPX</v>
      </c>
      <c r="T93" s="10"/>
    </row>
    <row r="94" customFormat="false" ht="12.75" hidden="false" customHeight="false" outlineLevel="0" collapsed="false">
      <c r="S94" s="261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9:A82">
    <cfRule type="expression" priority="2" aboveAverage="0" equalAverage="0" bottom="0" percent="0" rank="0" text="" dxfId="0">
      <formula>ISTEXT($E29)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28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2014-12-16T11:29:49Z</dcterms:created>
  <dc:creator>Laurent Bourgoin</dc:creator>
  <dc:description/>
  <dc:language>fr-FR</dc:language>
  <cp:lastModifiedBy>Laurent Bourgoin</cp:lastModifiedBy>
  <dcterms:modified xsi:type="dcterms:W3CDTF">2014-12-16T11:29:58Z</dcterms:modified>
  <cp:revision>0</cp:revision>
  <dc:subject/>
  <dc:title/>
</cp:coreProperties>
</file>