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17500" sheetId="6" state="visible" r:id="rId8"/>
    <sheet name="jgjg" sheetId="7" state="hidden" r:id="rId9"/>
    <sheet name="liste codes réf" sheetId="8" state="hidden" r:id="rId10"/>
  </sheets>
  <definedNames>
    <definedName function="false" hidden="false" localSheetId="5" name="_xlnm.Print_Area" vbProcedure="false">'06117500'!$A$1:$Q$82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'06117500'!$A$1:$Q$82</definedName>
    <definedName function="false" hidden="false" localSheetId="5" name="_xlnm__FilterDatabase" vbProcedure="false">'06117500'!$A$1:$C$1415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<sst xmlns="http://schemas.openxmlformats.org/spreadsheetml/2006/main" count="8849" uniqueCount="3496">
  <si>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</si>
  <si>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</si>
  <si>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</si>
  <si>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</si>
  <si>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</si>
  <si>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</si>
  <si>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</si>
  <si>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</si>
  <si>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</si>
  <si>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</si>
  <si>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</si>
  <si>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</si>
  <si>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</si>
  <si>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</si>
  <si>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</si>
  <si>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</si>
  <si>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</si>
  <si>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</si>
  <si>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</si>
  <si>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</si>
  <si>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</si>
  <si>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</si>
  <si>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</si>
  <si>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</si>
  <si>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</si>
  <si>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</si>
  <si>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</si>
  <si>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</si>
  <si>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</si>
  <si>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</si>
  <si>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</si>
  <si>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</si>
  <si>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</si>
  <si>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</si>
  <si>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</si>
  <si>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</si>
  <si>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</si>
  <si>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</si>
  <si>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</si>
  <si>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</si>
  <si>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</si>
  <si>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</si>
  <si>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</si>
  <si>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</si>
  <si>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</si>
  <si>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</si>
  <si>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</si>
  <si>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</si>
  <si>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</si>
  <si>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</si>
  <si>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</si>
  <si>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</si>
  <si>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</si>
  <si>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</si>
  <si>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</si>
  <si>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</si>
  <si>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</si>
  <si>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</si>
  <si>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</si>
  <si>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</si>
  <si>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</si>
  <si>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</si>
  <si>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</si>
  <si>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</si>
  <si>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</si>
  <si>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</si>
  <si>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</si>
  <si>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</si>
  <si>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</si>
  <si>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</si>
  <si>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</si>
  <si>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</si>
  <si>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</si>
  <si>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</si>
  <si>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</si>
  <si>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</si>
  <si>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</si>
  <si>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</si>
  <si>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</si>
  <si>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</si>
  <si>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</si>
  <si>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</si>
  <si>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</si>
  <si>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</si>
  <si>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</si>
  <si>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</si>
  <si>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</si>
  <si>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</si>
  <si>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</si>
  <si>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</si>
  <si>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</si>
  <si>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</si>
  <si>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</si>
  <si>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</si>
  <si>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</si>
  <si>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</si>
  <si>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</si>
  <si>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</si>
  <si>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</si>
  <si>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</si>
  <si>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</si>
  <si>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</si>
  <si>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</si>
  <si>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</si>
  <si>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</si>
  <si>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</si>
  <si>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</si>
  <si>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</si>
  <si>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</si>
  <si>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</si>
  <si>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</si>
  <si>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</si>
  <si>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</si>
  <si>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</si>
  <si>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</si>
  <si>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</si>
  <si>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</si>
  <si>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</si>
  <si>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</si>
  <si>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</si>
  <si>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</si>
  <si>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</si>
  <si>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</si>
  <si>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</si>
  <si>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</si>
  <si>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</si>
  <si>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</si>
  <si>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</si>
  <si>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</si>
  <si>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</si>
  <si>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</si>
  <si>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</si>
  <si>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</si>
  <si>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</si>
  <si>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</si>
  <si>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</si>
  <si>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</si>
  <si>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</si>
  <si>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</si>
  <si>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</si>
  <si>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</si>
  <si>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</si>
  <si>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</si>
  <si>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</si>
  <si>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</si>
  <si>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</si>
  <si>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</si>
  <si>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</si>
  <si>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</si>
  <si>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</si>
  <si>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</si>
  <si>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</si>
  <si>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</si>
  <si>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</si>
  <si>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</si>
  <si>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</si>
  <si>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</si>
  <si>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</si>
  <si>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</si>
  <si>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</si>
  <si>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</si>
  <si>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</si>
  <si>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</si>
  <si>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</si>
  <si>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</si>
  <si>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</si>
  <si>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</si>
  <si>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</si>
  <si>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</si>
  <si>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</si>
  <si>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</si>
  <si>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</si>
  <si>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</si>
  <si>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</si>
  <si>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</si>
  <si>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</si>
  <si>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</si>
  <si>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</si>
  <si>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</si>
  <si>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</si>
  <si>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</si>
  <si>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</si>
  <si>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</si>
  <si>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</si>
  <si>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</si>
  <si>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</si>
  <si>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</si>
  <si>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</si>
  <si>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</si>
  <si>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</si>
  <si>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</si>
  <si>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</si>
  <si>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</si>
  <si>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</si>
  <si>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</si>
  <si>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</si>
  <si>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</si>
  <si>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</si>
  <si>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</si>
  <si>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</si>
  <si>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</si>
  <si>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</si>
  <si>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</si>
  <si>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</si>
  <si>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</si>
  <si>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</si>
  <si>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</si>
  <si>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</si>
  <si>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</si>
  <si>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</si>
  <si>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</si>
  <si>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</si>
  <si>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</si>
  <si>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</si>
  <si>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</si>
  <si>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</si>
  <si>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</si>
  <si>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</si>
  <si>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</si>
  <si>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</si>
  <si>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</si>
  <si>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</si>
  <si>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</si>
  <si>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</si>
  <si>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</si>
  <si>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</si>
  <si>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</si>
  <si>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</si>
  <si>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</si>
  <si>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</si>
  <si>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</si>
  <si>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</si>
  <si>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</si>
  <si>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</si>
  <si>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</si>
  <si>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</si>
  <si>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</si>
  <si>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</si>
  <si>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</si>
  <si>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</si>
  <si>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</si>
  <si>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</si>
  <si>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</si>
  <si>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</si>
  <si>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</si>
  <si>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</si>
  <si>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</si>
  <si>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</si>
  <si>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</si>
  <si>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</si>
  <si>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</si>
  <si>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</si>
  <si>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</si>
  <si>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</si>
  <si>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</si>
  <si>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</si>
  <si>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</si>
  <si>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</si>
  <si>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</si>
  <si>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</si>
  <si>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</si>
  <si>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</si>
  <si>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</si>
  <si>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</si>
  <si>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</si>
  <si>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</si>
  <si>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</si>
  <si>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</si>
  <si>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</si>
  <si>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</si>
  <si>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</si>
  <si>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</si>
  <si>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</si>
  <si>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</si>
  <si>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</si>
  <si>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</si>
  <si>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</si>
  <si>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</si>
  <si>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</si>
  <si>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</si>
  <si>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</si>
  <si>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</si>
  <si>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</si>
  <si>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</si>
  <si>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</si>
  <si>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</si>
  <si>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</si>
  <si>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</si>
  <si>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</si>
  <si>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</si>
  <si>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</si>
  <si>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</si>
  <si>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</si>
  <si>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</si>
  <si>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</si>
  <si>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</si>
  <si>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</si>
  <si>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</si>
  <si>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</si>
  <si>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</si>
  <si>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</si>
  <si>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</si>
  <si>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</si>
  <si>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</si>
  <si>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</si>
  <si>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</si>
  <si>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</si>
  <si>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</si>
  <si>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</si>
  <si>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</si>
  <si>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</si>
  <si>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</si>
  <si>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</si>
  <si>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</si>
  <si>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</si>
  <si>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</si>
  <si>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</si>
  <si>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</si>
  <si>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</si>
  <si>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</si>
  <si>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</si>
  <si>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</si>
  <si>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</si>
  <si>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</si>
  <si>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</si>
  <si>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</si>
  <si>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</si>
  <si>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</si>
  <si>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</si>
  <si>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</si>
  <si>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</si>
  <si>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</si>
  <si>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</si>
  <si>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</si>
  <si>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</si>
  <si>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</si>
  <si>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</si>
  <si>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</si>
  <si>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</si>
  <si>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</si>
  <si>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</si>
  <si>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</si>
  <si>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</si>
  <si>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</si>
  <si>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</si>
  <si>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</si>
  <si>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</si>
  <si>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</si>
  <si>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</si>
  <si>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</si>
  <si>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</si>
  <si>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</si>
  <si>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</si>
  <si>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</si>
  <si>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</si>
  <si>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</si>
  <si>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</si>
  <si>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</si>
  <si>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</si>
  <si>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</si>
  <si>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</si>
  <si>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</si>
  <si>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</si>
  <si>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</si>
  <si>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</si>
  <si>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</si>
  <si>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</si>
  <si>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</si>
  <si>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</si>
  <si>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</si>
  <si>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</si>
  <si>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</si>
  <si>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</si>
  <si>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</si>
  <si>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</si>
  <si>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</si>
  <si>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</si>
  <si>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</si>
  <si>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</si>
  <si>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</si>
  <si>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</si>
  <si>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</si>
  <si>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</si>
  <si>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</si>
  <si>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</si>
  <si>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</si>
  <si>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</si>
  <si>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</si>
  <si>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</si>
  <si>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</si>
  <si>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</si>
  <si>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</si>
  <si>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</si>
  <si>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</si>
  <si>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</si>
  <si>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</si>
  <si>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</si>
  <si>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</si>
  <si>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</si>
  <si>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</si>
  <si>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</si>
  <si>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</si>
  <si>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</si>
  <si>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</si>
  <si>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</si>
  <si>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</si>
  <si>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</si>
  <si>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</si>
  <si>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</si>
  <si>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</si>
  <si>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</si>
  <si>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</si>
  <si>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</si>
  <si>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</si>
  <si>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</si>
  <si>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</si>
  <si>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</si>
  <si>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</si>
  <si>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</si>
  <si>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</si>
  <si>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</si>
  <si>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</si>
  <si>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</si>
  <si>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</si>
  <si>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</si>
  <si>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</si>
  <si>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</si>
  <si>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</si>
  <si>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</si>
  <si>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</si>
  <si>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</si>
  <si>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</si>
  <si>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</si>
  <si>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</si>
  <si>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</si>
  <si>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</si>
  <si>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</si>
  <si>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</si>
  <si>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</si>
  <si>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</si>
  <si>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</si>
  <si>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</si>
  <si>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</si>
  <si>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</si>
  <si>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</si>
  <si>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</si>
  <si>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</si>
  <si>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</si>
  <si>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</si>
  <si>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</si>
  <si>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</si>
  <si>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</si>
  <si>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</si>
  <si>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</si>
  <si>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</si>
  <si>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</si>
  <si>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</si>
  <si>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</si>
  <si>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</si>
  <si>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</si>
  <si>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</si>
  <si>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</si>
  <si>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</si>
  <si>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</si>
  <si>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</si>
  <si>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</si>
  <si>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</si>
  <si>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</si>
  <si>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</si>
  <si>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</si>
  <si>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</si>
  <si>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</si>
  <si>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</si>
  <si>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</si>
  <si>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</si>
  <si>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</si>
  <si>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</si>
  <si>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</si>
  <si>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</si>
  <si>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</si>
  <si>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</si>
  <si>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</si>
  <si>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</si>
  <si>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</si>
  <si>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</si>
  <si>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</si>
  <si>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</si>
  <si>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</si>
  <si>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</si>
  <si>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</si>
  <si>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</si>
  <si>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</si>
  <si>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</si>
  <si>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</si>
  <si>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</si>
  <si>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</si>
  <si>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</si>
  <si>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</si>
  <si>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</si>
  <si>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</si>
  <si>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</si>
  <si>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</si>
  <si>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</si>
  <si>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</si>
  <si>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</si>
  <si>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</si>
  <si>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</si>
  <si>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</si>
  <si>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</si>
  <si>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</si>
  <si>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</si>
  <si>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</si>
  <si>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</si>
  <si>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</si>
  <si>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</si>
  <si>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</si>
  <si>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</si>
  <si>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</si>
  <si>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</si>
  <si>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</si>
  <si>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</si>
  <si>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</si>
  <si>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</si>
  <si>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</si>
  <si>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</si>
  <si>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</si>
  <si>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</si>
  <si>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</si>
  <si>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</si>
  <si>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</si>
  <si>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</si>
  <si>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</si>
  <si>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</si>
  <si>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</si>
  <si>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</si>
  <si>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</si>
  <si>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</si>
  <si>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</si>
  <si>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</si>
  <si>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</si>
  <si>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</si>
  <si>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</si>
  <si>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</si>
  <si>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</si>
  <si>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</si>
  <si>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</si>
  <si>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</si>
  <si>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</si>
  <si>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</si>
  <si>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</si>
  <si>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</si>
  <si>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</si>
  <si>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</si>
  <si>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</si>
  <si>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</si>
  <si>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</si>
  <si>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</si>
  <si>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</si>
  <si>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</si>
  <si>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</si>
  <si>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</si>
  <si>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</si>
  <si>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</si>
  <si>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</si>
  <si>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</si>
  <si>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</si>
  <si>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</si>
  <si>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</si>
  <si>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</si>
  <si>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</si>
  <si>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</si>
  <si>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</si>
  <si>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</si>
  <si>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</si>
  <si>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</si>
  <si>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</si>
  <si>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</si>
  <si>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</si>
  <si>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</si>
  <si>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</si>
  <si>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</si>
  <si>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</si>
  <si>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</si>
  <si>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</si>
  <si>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</si>
  <si>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</si>
  <si>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</si>
  <si>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</si>
  <si>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</si>
  <si>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</si>
  <si>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</si>
  <si>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</si>
  <si>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</si>
  <si>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</si>
  <si>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</si>
  <si>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</si>
  <si>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</si>
  <si>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</si>
  <si>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</si>
  <si>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</si>
  <si>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</si>
  <si>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</si>
  <si>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</si>
  <si>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</si>
  <si>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</si>
  <si>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</si>
  <si>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</si>
  <si>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</si>
  <si>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</si>
  <si>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</si>
  <si>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</si>
  <si>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</si>
  <si>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</si>
  <si>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</si>
  <si>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</si>
  <si>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</si>
  <si>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</si>
  <si>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</si>
  <si>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</si>
  <si>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</si>
  <si>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</si>
  <si>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</si>
  <si>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</si>
  <si>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</si>
  <si>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</si>
  <si>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</si>
  <si>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</si>
  <si>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</si>
  <si>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</si>
  <si>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</si>
  <si>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</si>
  <si>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</si>
  <si>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</si>
  <si>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</si>
  <si>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</si>
  <si>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</si>
  <si>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</si>
  <si>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</si>
  <si>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</si>
  <si>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</si>
  <si>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</si>
  <si>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</si>
  <si>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</si>
  <si>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</si>
  <si>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</si>
  <si>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</si>
  <si>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</si>
  <si>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</si>
  <si>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</si>
  <si>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</si>
  <si>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</si>
  <si>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</si>
  <si>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</si>
  <si>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</si>
  <si>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</si>
  <si>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</si>
  <si>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</si>
  <si>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</si>
  <si>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</si>
  <si>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</si>
  <si>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</si>
  <si>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</si>
  <si>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</si>
  <si>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</si>
  <si>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</si>
  <si>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</si>
  <si>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</si>
  <si>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</si>
  <si>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</si>
  <si>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</si>
  <si>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</si>
  <si>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</si>
  <si>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</si>
  <si>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</si>
  <si>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</si>
  <si>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</si>
  <si>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</si>
  <si>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</si>
  <si>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</si>
  <si>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</si>
  <si>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</si>
  <si>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</si>
  <si>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</si>
  <si>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</si>
  <si>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</si>
  <si>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</si>
  <si>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</si>
  <si>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</si>
  <si>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</si>
  <si>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</si>
  <si>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</si>
  <si>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</si>
  <si>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</si>
  <si>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</si>
  <si>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</si>
  <si>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</si>
  <si>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</si>
  <si>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</si>
  <si>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</si>
  <si>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</si>
  <si>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</si>
  <si>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</si>
  <si>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</si>
  <si>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</si>
  <si>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</si>
  <si>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</si>
  <si>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</si>
  <si>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</si>
  <si>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</si>
  <si>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</si>
  <si>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</si>
  <si>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</si>
  <si>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</si>
  <si>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</si>
  <si>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</si>
  <si>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</si>
  <si>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</si>
  <si>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</si>
  <si>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</si>
  <si>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</si>
  <si>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</si>
  <si>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</si>
  <si>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</si>
  <si>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</si>
  <si>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</si>
  <si>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</si>
  <si>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</si>
  <si>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</si>
  <si>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</si>
  <si>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</si>
  <si>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</si>
  <si>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</si>
  <si>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</si>
  <si>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</si>
  <si>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</si>
  <si>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</si>
  <si>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</si>
  <si>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</si>
  <si>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</si>
  <si>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</si>
  <si>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</si>
  <si>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</si>
  <si>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</si>
  <si>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</si>
  <si>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</si>
  <si>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</si>
  <si>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</si>
  <si>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</si>
  <si>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</si>
  <si>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</si>
  <si>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</si>
  <si>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</si>
  <si>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</si>
  <si>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</si>
  <si>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</si>
  <si>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</si>
  <si>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</si>
  <si>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</si>
  <si>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</si>
  <si>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</si>
  <si>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</si>
  <si>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</si>
  <si>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</si>
  <si>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</si>
  <si>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</si>
  <si>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</si>
  <si>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</si>
  <si>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</si>
  <si>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</si>
  <si>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</si>
  <si>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</si>
  <si>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</si>
  <si>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</si>
  <si>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</si>
  <si>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</si>
  <si>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</si>
  <si>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</si>
  <si>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</si>
  <si>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</si>
  <si>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</si>
  <si>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</si>
  <si>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</si>
  <si>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</si>
  <si>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</si>
  <si>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</si>
  <si>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</si>
  <si>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</si>
  <si>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</si>
  <si>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</si>
  <si>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</si>
  <si>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</si>
  <si>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</si>
  <si>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</si>
  <si>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</si>
  <si>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</si>
  <si>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</si>
  <si>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</si>
  <si>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</si>
  <si>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</si>
  <si>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</si>
  <si>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</si>
  <si>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</si>
  <si>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</si>
  <si>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</si>
  <si>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</si>
  <si>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</si>
  <si>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</si>
  <si>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</si>
  <si>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</si>
  <si>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</si>
  <si>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</si>
  <si>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</si>
  <si>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</si>
  <si>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</si>
  <si>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</si>
  <si>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</si>
  <si>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</si>
  <si>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</si>
  <si>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</si>
  <si>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</si>
  <si>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</si>
  <si>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</si>
  <si>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</si>
  <si>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</si>
  <si>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</si>
  <si>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</si>
  <si>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</si>
  <si>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</si>
  <si>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</si>
  <si>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</si>
  <si>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</si>
  <si>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</si>
  <si>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</si>
  <si>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</si>
  <si>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</si>
  <si>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</si>
  <si>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</si>
  <si>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</si>
  <si>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</si>
  <si>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</si>
  <si>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</si>
  <si>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</si>
  <si>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</si>
  <si>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</si>
  <si>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</si>
  <si>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</si>
  <si>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</si>
  <si>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</si>
  <si>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</si>
  <si>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</si>
  <si>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</si>
  <si>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</si>
  <si>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</si>
  <si>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</si>
  <si>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</si>
  <si>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</si>
  <si>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</si>
  <si>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</si>
  <si>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</si>
  <si>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</si>
  <si>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</si>
  <si>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</si>
  <si>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</si>
  <si>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</si>
  <si>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</si>
  <si>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</si>
  <si>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</si>
  <si>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</si>
  <si>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</si>
  <si>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</si>
  <si>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</si>
  <si>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</si>
  <si>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</si>
  <si>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</si>
  <si>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</si>
  <si>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</si>
  <si>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</si>
  <si>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</si>
  <si>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</si>
  <si>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</si>
  <si>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</si>
  <si>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</si>
  <si>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</si>
  <si>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</si>
  <si>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</si>
  <si>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</si>
  <si>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</si>
  <si>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</si>
  <si>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</si>
  <si>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</si>
  <si>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</si>
  <si>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</si>
  <si>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</si>
  <si>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</si>
  <si>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</si>
  <si>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</si>
  <si>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</si>
  <si>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</si>
  <si>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</si>
  <si>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</si>
  <si>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</si>
  <si>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</si>
  <si>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</si>
  <si>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</si>
  <si>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</si>
  <si>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</si>
  <si>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</si>
  <si>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</si>
  <si>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</si>
  <si>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</si>
  <si>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</si>
  <si>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</si>
  <si>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</si>
  <si>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</si>
  <si>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</si>
  <si>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</si>
  <si>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</si>
  <si>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</si>
  <si>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</si>
  <si>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</si>
  <si>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</si>
  <si>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</si>
  <si>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</si>
  <si>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</si>
  <si>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</si>
  <si>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</si>
  <si>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</si>
  <si>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</si>
  <si>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</si>
  <si>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</si>
  <si>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</si>
  <si>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</si>
  <si>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</si>
  <si>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</si>
  <si>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</si>
  <si>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</si>
  <si>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</si>
  <si>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</si>
  <si>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</si>
  <si>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</si>
  <si>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</si>
  <si>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</si>
  <si>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</si>
  <si>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</si>
  <si>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</si>
  <si>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</si>
  <si>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</si>
  <si>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</si>
  <si>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</si>
  <si>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</si>
  <si>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</si>
  <si>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</si>
  <si>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</si>
  <si>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</si>
  <si>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</si>
  <si>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</si>
  <si>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</si>
  <si>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</si>
  <si>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</si>
  <si>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</si>
  <si>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</si>
  <si>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</si>
  <si>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</si>
  <si>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</si>
  <si>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</si>
  <si>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</si>
  <si>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</si>
  <si>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</si>
  <si>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</si>
  <si>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</si>
  <si>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</si>
  <si>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</si>
  <si>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</si>
  <si>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</si>
  <si>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</si>
  <si>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</si>
  <si>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</si>
  <si>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</si>
  <si>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</si>
  <si>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</si>
  <si>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</si>
  <si>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</si>
  <si>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</si>
  <si>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</si>
  <si>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</si>
  <si>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</si>
  <si>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</si>
  <si>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</si>
  <si>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</si>
  <si>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</si>
  <si>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</si>
  <si>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</si>
  <si>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</si>
  <si>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</si>
  <si>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</si>
  <si>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</si>
  <si>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</si>
  <si>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</si>
  <si>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</si>
  <si>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</si>
  <si>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</si>
  <si>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</si>
  <si>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</si>
  <si>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</si>
  <si>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</si>
  <si>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</si>
  <si>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</si>
  <si>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</si>
  <si>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</si>
  <si>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</si>
  <si>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</si>
  <si>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</si>
  <si>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</si>
  <si>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</si>
  <si>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</si>
  <si>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</si>
  <si>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</si>
  <si>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</si>
  <si>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</si>
  <si>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</si>
  <si>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</si>
  <si>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</si>
  <si>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</si>
  <si>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</si>
  <si>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</si>
  <si>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</si>
  <si>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</si>
  <si>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</si>
  <si>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</si>
  <si>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</si>
  <si>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</si>
  <si>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</si>
  <si>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</si>
  <si>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</si>
  <si>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</si>
  <si>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</si>
  <si>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</si>
  <si>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</si>
  <si>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</si>
  <si>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</si>
  <si>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</si>
  <si>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</si>
  <si>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</si>
  <si>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</si>
  <si>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</si>
  <si>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</si>
  <si>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</si>
  <si>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</si>
  <si>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</si>
  <si>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</si>
  <si>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</si>
  <si>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</si>
  <si>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</si>
  <si>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</si>
  <si>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</si>
  <si>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</si>
  <si>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</si>
  <si>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</si>
  <si>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</si>
  <si>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</si>
  <si>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</si>
  <si>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</si>
  <si>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</si>
  <si>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</si>
  <si>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</si>
  <si>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</si>
  <si>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</si>
  <si>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</si>
  <si>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</si>
  <si>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</si>
  <si>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</si>
  <si>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</si>
  <si>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</si>
  <si>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</si>
  <si>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</si>
  <si>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</si>
  <si>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</si>
  <si>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</si>
  <si>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</si>
  <si>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</si>
  <si>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</si>
  <si>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</si>
  <si>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</si>
  <si>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</si>
  <si>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</si>
  <si>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</si>
  <si>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</si>
  <si>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</si>
  <si>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</si>
  <si>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</si>
  <si>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</si>
  <si>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</si>
  <si>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</si>
  <si>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</si>
  <si>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</si>
  <si>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</si>
  <si>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</si>
  <si>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</si>
  <si>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</si>
  <si>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</si>
  <si>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</si>
  <si>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</si>
  <si>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</si>
  <si>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</si>
  <si>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</si>
  <si>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</si>
  <si>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</si>
  <si>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</si>
  <si>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</si>
  <si>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</si>
  <si>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</si>
  <si>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</si>
  <si>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</si>
  <si>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</si>
  <si>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</si>
  <si>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</si>
  <si>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</si>
  <si>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</si>
  <si>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</si>
  <si>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</si>
  <si>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</si>
  <si>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</si>
  <si>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</si>
  <si>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</si>
  <si>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</si>
  <si>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</si>
  <si>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</si>
  <si>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</si>
  <si>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</si>
  <si>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</si>
  <si>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</si>
  <si>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</si>
  <si>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</si>
  <si>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</si>
  <si>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</si>
  <si>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</si>
  <si>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</si>
  <si>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</si>
  <si>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</si>
  <si>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</si>
  <si>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</si>
  <si>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</si>
  <si>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</si>
  <si>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</si>
  <si>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</si>
  <si>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</si>
  <si>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</si>
  <si>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</si>
  <si>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</si>
  <si>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</si>
  <si>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</si>
  <si>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</si>
  <si>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</si>
  <si>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</si>
  <si>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</si>
  <si>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</si>
  <si>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</si>
  <si>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</si>
  <si>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</si>
  <si>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</si>
  <si>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</si>
  <si>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</si>
  <si>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</si>
  <si>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</si>
  <si>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</si>
  <si>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</si>
  <si>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</si>
  <si>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</si>
  <si>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</si>
  <si>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</si>
  <si>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</si>
  <si>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</si>
  <si>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</si>
  <si>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</si>
  <si>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</si>
  <si>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</si>
  <si>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</si>
  <si>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</si>
  <si>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</si>
  <si>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</si>
  <si>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</si>
  <si>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</si>
  <si>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</si>
  <si>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</si>
  <si>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</si>
  <si>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</si>
  <si>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</si>
  <si>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</si>
  <si>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</si>
  <si>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</si>
  <si>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</si>
  <si>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</si>
  <si>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</si>
  <si>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</si>
  <si>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</si>
  <si>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</si>
  <si>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</si>
  <si>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</si>
  <si>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</si>
  <si>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</si>
  <si>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</si>
  <si>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</si>
  <si>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</si>
  <si>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</si>
  <si>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</si>
  <si>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</si>
  <si>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</si>
  <si>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</si>
  <si>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</si>
  <si>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</si>
  <si>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</si>
  <si>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</si>
  <si>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</si>
  <si>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</si>
  <si>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</si>
  <si>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</si>
  <si>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</si>
  <si>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</si>
  <si>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</si>
  <si>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</si>
  <si>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</si>
  <si>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</si>
  <si>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</si>
  <si>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</si>
  <si>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</si>
  <si>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</si>
  <si>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</si>
  <si>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</si>
  <si>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</si>
  <si>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</si>
  <si>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</si>
  <si>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</si>
  <si>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</si>
  <si>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</si>
  <si>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</si>
  <si>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</si>
  <si>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</si>
  <si>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</si>
  <si>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</si>
  <si>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</si>
  <si>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</si>
  <si>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</si>
  <si>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</si>
  <si>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</si>
  <si>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</si>
  <si>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</si>
  <si>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</si>
  <si>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</si>
  <si>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</si>
  <si>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</si>
  <si>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</si>
  <si>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</si>
  <si>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</si>
  <si>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</si>
  <si>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</si>
  <si>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</si>
  <si>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</si>
  <si>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</si>
  <si>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</si>
  <si>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</si>
  <si>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</si>
  <si>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</si>
  <si>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</si>
  <si>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</si>
  <si>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</si>
  <si>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</si>
  <si>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</si>
  <si>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</si>
  <si>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</si>
  <si>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</si>
  <si>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</si>
  <si>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</si>
  <si>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</si>
  <si>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</si>
  <si>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</si>
  <si>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</si>
  <si>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</si>
  <si>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</si>
  <si>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</si>
  <si>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</si>
  <si>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</si>
  <si>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</si>
  <si>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</si>
  <si>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</si>
  <si>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</si>
  <si>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</si>
  <si>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</si>
  <si>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</si>
  <si>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</si>
  <si>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</si>
  <si>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</si>
  <si>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</si>
  <si>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</si>
  <si>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</si>
  <si>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</si>
  <si>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</si>
  <si>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</si>
  <si>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</si>
  <si>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</si>
  <si>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</si>
  <si>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</si>
  <si>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</si>
  <si>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</si>
  <si>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</si>
  <si>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</si>
  <si>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</si>
  <si>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</si>
  <si>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</si>
  <si>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</si>
  <si>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</si>
  <si>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</si>
  <si>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</si>
  <si>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</si>
  <si>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</si>
  <si>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</si>
  <si>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</si>
  <si>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</si>
  <si>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</si>
  <si>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</si>
  <si>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</si>
  <si>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</si>
  <si>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</si>
  <si>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</si>
  <si>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</si>
  <si>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</si>
  <si>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</si>
  <si>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</si>
  <si>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</si>
  <si>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</si>
  <si>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</si>
  <si>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</si>
  <si>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</si>
  <si>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</si>
  <si>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</si>
  <si>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</si>
  <si>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</si>
  <si>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</si>
  <si>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</si>
  <si>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</si>
  <si>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</si>
  <si>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</si>
  <si>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</si>
  <si>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</si>
  <si>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</si>
  <si>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</si>
  <si>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</si>
  <si>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</si>
  <si>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</si>
  <si>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</si>
  <si>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</si>
  <si>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</si>
  <si>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</si>
  <si>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</si>
  <si>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</si>
  <si>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</si>
  <si>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</si>
  <si>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</si>
  <si>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</si>
  <si>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</si>
  <si>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</si>
  <si>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</si>
  <si>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</si>
  <si>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</si>
  <si>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</si>
  <si>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</si>
  <si>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</si>
  <si>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</si>
  <si>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</si>
  <si>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</si>
  <si>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</si>
  <si>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</si>
  <si>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</si>
  <si>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</si>
  <si>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</si>
  <si>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</si>
  <si>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</si>
  <si>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</si>
  <si>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</si>
  <si>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</si>
  <si>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</si>
  <si>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</si>
  <si>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</si>
  <si>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</si>
  <si>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</si>
  <si>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</si>
  <si>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</si>
  <si>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</si>
  <si>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</si>
  <si>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</si>
  <si>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</si>
  <si>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</si>
  <si>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</si>
  <si>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</si>
  <si>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</si>
  <si>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</si>
  <si>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</si>
  <si>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</si>
  <si>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</si>
  <si>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</si>
  <si>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</si>
  <si>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</si>
  <si>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</si>
  <si>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</si>
  <si>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</si>
  <si>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</si>
  <si>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</si>
  <si>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</si>
  <si>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</si>
  <si>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</si>
  <si>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</si>
  <si>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</si>
  <si>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</si>
  <si>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</si>
  <si>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</si>
  <si>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</si>
  <si>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</si>
  <si>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</si>
  <si>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</si>
  <si>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</si>
  <si>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</si>
  <si>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</si>
  <si>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</si>
  <si>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</si>
  <si>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</si>
  <si>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</si>
  <si>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</si>
  <si>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</si>
  <si>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</si>
  <si>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</si>
  <si>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</si>
  <si>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</si>
  <si>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</si>
  <si>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</si>
  <si>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</si>
  <si>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</si>
  <si>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</si>
  <si>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</si>
  <si>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</si>
  <si>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</si>
  <si>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</si>
  <si>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</si>
  <si>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</si>
  <si>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</si>
  <si>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</si>
  <si>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</si>
  <si>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</si>
  <si>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</si>
  <si>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</si>
  <si>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</si>
  <si>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</si>
  <si>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</si>
  <si>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</si>
  <si>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</si>
  <si>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</si>
  <si>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</si>
  <si>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</si>
  <si>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</si>
  <si>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</si>
  <si>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</si>
  <si>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</si>
  <si>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</si>
  <si>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</si>
  <si>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</si>
  <si>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</si>
  <si>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</si>
  <si>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</si>
  <si>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</si>
  <si>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</si>
  <si>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</si>
  <si>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</si>
  <si>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</si>
  <si>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</si>
  <si>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</si>
  <si>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</si>
  <si>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</si>
  <si>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</si>
  <si>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</si>
  <si>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</si>
  <si>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</si>
  <si>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</si>
  <si>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</si>
  <si>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</si>
  <si>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</si>
  <si>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</si>
  <si>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</si>
  <si>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</si>
  <si>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</si>
  <si>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</si>
  <si>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</si>
  <si>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</si>
  <si>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</si>
  <si>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</si>
  <si>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</si>
  <si>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</si>
  <si>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</si>
  <si>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</si>
  <si>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</si>
  <si>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</si>
  <si>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</si>
  <si>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</si>
  <si>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</si>
  <si>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</si>
  <si>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</si>
  <si>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</si>
  <si>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</si>
  <si>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</si>
  <si>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</si>
  <si>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</si>
  <si>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</si>
  <si>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</si>
  <si>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</si>
  <si>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</si>
  <si>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</si>
  <si>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</si>
  <si>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</si>
  <si>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</si>
  <si>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</si>
  <si>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</si>
  <si>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</si>
  <si>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</si>
  <si>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</si>
  <si>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</si>
  <si>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</si>
  <si>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</si>
  <si>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</si>
  <si>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</si>
  <si>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</si>
  <si>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</si>
  <si>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</si>
  <si>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</si>
  <si>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</si>
  <si>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</si>
  <si>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</si>
  <si>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</si>
  <si>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</si>
  <si>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</si>
  <si>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</si>
  <si>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</si>
  <si>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</si>
  <si>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</si>
  <si>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</si>
  <si>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</si>
  <si>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</si>
  <si>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</si>
  <si>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</si>
  <si>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</si>
  <si>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</si>
  <si>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</si>
  <si>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</si>
  <si>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</si>
  <si>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</si>
  <si>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</si>
  <si>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</si>
  <si>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</si>
  <si>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</si>
  <si>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</si>
  <si>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</si>
  <si>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</si>
  <si>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</si>
  <si>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</si>
  <si>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</si>
  <si>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</si>
  <si>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</si>
  <si>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</si>
  <si>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</si>
  <si>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</si>
  <si>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</si>
  <si>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</si>
  <si>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</si>
  <si>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</si>
  <si>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</si>
  <si>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</si>
  <si>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</si>
  <si>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</si>
  <si>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</si>
  <si>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</si>
  <si>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</si>
  <si>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</si>
  <si>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</si>
  <si>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</si>
  <si>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</si>
  <si>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</si>
  <si>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</si>
  <si>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</si>
  <si>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</si>
  <si>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</si>
  <si>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</si>
  <si>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</si>
  <si>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</si>
  <si>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</si>
  <si>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</si>
  <si>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</si>
  <si>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</si>
  <si>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</si>
  <si>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</si>
  <si>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</si>
  <si>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</si>
  <si>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</si>
  <si>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</si>
  <si>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</si>
  <si>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</si>
  <si>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</si>
  <si>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</si>
  <si>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</si>
  <si>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</si>
  <si>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</si>
  <si>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</si>
  <si>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</si>
  <si>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</si>
  <si>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</si>
  <si>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</si>
  <si>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</si>
  <si>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</si>
  <si>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</si>
  <si>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</si>
  <si>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</si>
  <si>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</si>
  <si>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</si>
  <si>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</si>
  <si>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</si>
  <si>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</si>
  <si>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</si>
  <si>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</si>
  <si>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</si>
  <si>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</si>
  <si>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</si>
  <si>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</si>
  <si>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</si>
  <si>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</si>
  <si>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</si>
  <si>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</si>
  <si>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</si>
  <si>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</si>
  <si>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</si>
  <si>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</si>
  <si>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</si>
  <si>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</si>
  <si>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</si>
  <si>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</si>
  <si>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</si>
  <si>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</si>
  <si>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</si>
  <si>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</si>
  <si>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</si>
  <si>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</si>
  <si>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</si>
  <si>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</si>
  <si>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</si>
  <si>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</si>
  <si>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</si>
  <si>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</si>
  <si>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</si>
  <si>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</si>
  <si>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</si>
  <si>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</si>
  <si>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</si>
  <si>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</si>
  <si>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</si>
  <si>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</si>
  <si>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</si>
  <si>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</si>
  <si>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</si>
  <si>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</si>
  <si>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</si>
  <si>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</si>
  <si>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</si>
  <si>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</si>
  <si>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</si>
  <si>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</si>
  <si>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</si>
  <si>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</si>
  <si>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</si>
  <si>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</si>
  <si>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</si>
  <si>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</si>
  <si>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</si>
  <si>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</si>
  <si>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</si>
  <si>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</si>
  <si>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</si>
  <si>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</si>
  <si>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</si>
  <si>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</si>
  <si>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</si>
  <si>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</si>
  <si>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</si>
  <si>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</si>
  <si>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</si>
  <si>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</si>
  <si>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</si>
  <si>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</si>
  <si>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</si>
  <si>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</si>
  <si>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</si>
  <si>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</si>
  <si>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</si>
  <si>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</si>
  <si>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</si>
  <si>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</si>
  <si>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</si>
  <si>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</si>
  <si>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</si>
  <si>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</si>
  <si>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</si>
  <si>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</si>
  <si>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</si>
  <si>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</si>
  <si>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</si>
  <si>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</si>
  <si>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</si>
  <si>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</si>
  <si>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</si>
  <si>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</si>
  <si>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</si>
  <si>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</si>
  <si>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</si>
  <si>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</si>
  <si>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</si>
  <si>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</si>
  <si>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</si>
  <si>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</si>
  <si>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</si>
  <si>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</si>
  <si>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</si>
  <si>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</si>
  <si>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</si>
  <si>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</si>
  <si>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</si>
  <si>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</si>
  <si>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</si>
  <si>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</si>
  <si>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</si>
  <si>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</si>
  <si>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</si>
  <si>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</si>
  <si>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</si>
  <si>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</si>
  <si>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</si>
  <si>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</si>
  <si>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</si>
  <si>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</si>
  <si>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</si>
  <si>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</si>
  <si>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</si>
  <si>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</si>
  <si>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</si>
  <si>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</si>
  <si>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</si>
  <si>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</si>
  <si>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</si>
  <si>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</si>
  <si>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</si>
  <si>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</si>
  <si>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</si>
  <si>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</si>
  <si>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</si>
  <si>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</si>
  <si>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</si>
  <si>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</si>
  <si>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</si>
  <si>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</si>
  <si>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</si>
  <si>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</si>
  <si>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</si>
  <si>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</si>
  <si>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</si>
  <si>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</si>
  <si>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</si>
  <si>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</si>
  <si>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</si>
  <si>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</si>
  <si>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</si>
  <si>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</si>
  <si>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</si>
  <si>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</si>
  <si>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</si>
  <si>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</si>
  <si>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</si>
  <si>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</si>
  <si>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</si>
  <si>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</si>
  <si>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</si>
  <si>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</si>
  <si>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</si>
  <si>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</si>
  <si>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</si>
  <si>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</si>
  <si>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</si>
  <si>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</si>
  <si>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</si>
  <si>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</si>
  <si>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</si>
  <si>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</si>
  <si>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</si>
  <si>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</si>
  <si>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</si>
  <si>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</si>
  <si>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</si>
  <si>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</si>
  <si>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</si>
  <si>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</si>
  <si>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</si>
  <si>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</si>
  <si>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</si>
  <si>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</si>
  <si>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</si>
  <si>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</si>
  <si>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</si>
  <si>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</si>
  <si>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</si>
  <si>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</si>
  <si>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</si>
  <si>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</si>
  <si>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</si>
  <si>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</si>
  <si>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</si>
  <si>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</si>
  <si>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</si>
  <si>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</si>
  <si>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</si>
  <si>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</si>
  <si>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</si>
  <si>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</si>
  <si>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</si>
  <si>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</si>
  <si>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</si>
  <si>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</si>
  <si>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</si>
  <si>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</si>
  <si>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</si>
  <si>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</si>
  <si>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</si>
  <si>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</si>
  <si>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</si>
  <si>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</si>
  <si>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</si>
  <si>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</si>
  <si>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</si>
  <si>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</si>
  <si>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</si>
  <si>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</si>
  <si>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</si>
  <si>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</si>
  <si>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</si>
  <si>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</si>
  <si>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</si>
  <si>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</si>
  <si>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</si>
  <si>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</si>
  <si>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</si>
  <si>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</si>
  <si>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</si>
  <si>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</si>
  <si>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</si>
  <si>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</si>
  <si>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</si>
  <si>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</si>
  <si>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</si>
  <si>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</si>
  <si>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</si>
  <si>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</si>
  <si>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</si>
  <si>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</si>
  <si>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</si>
  <si>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</si>
  <si>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</si>
  <si>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</si>
  <si>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</si>
  <si>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</si>
  <si>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</si>
  <si>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</si>
  <si>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</si>
  <si>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</si>
  <si>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</si>
  <si>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</si>
  <si>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</si>
  <si>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</si>
  <si>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</si>
  <si>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</si>
  <si>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</si>
  <si>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</si>
  <si>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</si>
  <si>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</si>
  <si>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</si>
  <si>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</si>
  <si>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</si>
  <si>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</si>
  <si>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</si>
  <si>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</si>
  <si>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</si>
  <si>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</si>
  <si>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</si>
  <si>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</si>
  <si>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</si>
  <si>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</si>
  <si>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</si>
  <si>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</si>
  <si>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</si>
  <si>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</si>
  <si>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</si>
  <si>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</si>
  <si>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</si>
  <si>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</si>
  <si>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</si>
  <si>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</si>
  <si>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</si>
  <si>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</si>
  <si>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</si>
  <si>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</si>
  <si>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</si>
  <si>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</si>
  <si>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</si>
  <si>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</si>
  <si>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</si>
  <si>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</si>
  <si>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</si>
  <si>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</si>
  <si>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</si>
  <si>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</si>
  <si>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</si>
  <si>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</si>
  <si>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</si>
  <si>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</si>
  <si>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</si>
  <si>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</si>
  <si>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</si>
  <si>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</si>
  <si>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</si>
  <si>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</si>
  <si>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</si>
  <si>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</si>
  <si>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</si>
  <si>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</si>
  <si>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</si>
  <si>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</si>
  <si>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</si>
  <si>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</si>
  <si>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</si>
  <si>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</si>
  <si>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</si>
  <si>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</si>
  <si>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</si>
  <si>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</si>
  <si>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</si>
  <si>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</si>
  <si>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</si>
  <si>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</si>
  <si>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</si>
  <si>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</si>
  <si>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</si>
  <si>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</si>
  <si>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</si>
  <si>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</si>
  <si>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</si>
  <si>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</si>
  <si>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</si>
  <si>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</si>
  <si>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</si>
  <si>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</si>
  <si>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</si>
  <si>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</si>
  <si>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</si>
  <si>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</si>
  <si>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</si>
  <si>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</si>
  <si>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</si>
  <si>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</si>
  <si>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</si>
  <si>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</si>
  <si>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</si>
  <si>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</si>
  <si>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</si>
  <si>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</si>
  <si>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</si>
  <si>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</si>
  <si>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</si>
  <si>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</si>
  <si>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</si>
  <si>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</si>
  <si>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</si>
  <si>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</si>
  <si>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</si>
  <si>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</si>
  <si>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</si>
  <si>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</si>
  <si>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</si>
  <si>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</si>
  <si>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</si>
  <si>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</si>
  <si>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</si>
  <si>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</si>
  <si>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</si>
  <si>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</si>
  <si>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</si>
  <si>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</si>
  <si>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</si>
  <si>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</si>
  <si>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</si>
  <si>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</si>
  <si>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</si>
  <si>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</si>
  <si>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</si>
  <si>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</si>
  <si>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</si>
  <si>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</si>
  <si>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</si>
  <si>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</si>
  <si>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</si>
  <si>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</si>
  <si>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</si>
  <si>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</si>
  <si>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</si>
  <si>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</si>
  <si>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</si>
  <si>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</si>
  <si>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</si>
  <si>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</si>
  <si>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</si>
  <si>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</si>
  <si>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</si>
  <si>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</si>
  <si>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</si>
  <si>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</si>
  <si>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</si>
  <si>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</si>
  <si>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</si>
  <si>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</si>
  <si>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</si>
  <si>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</si>
  <si>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</si>
  <si>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</si>
  <si>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</si>
  <si>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</si>
  <si>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</si>
  <si>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</si>
  <si>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</si>
  <si>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</si>
  <si>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</si>
  <si>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</si>
  <si>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</si>
  <si>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</si>
  <si>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</si>
  <si>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</si>
  <si>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</si>
  <si>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</si>
  <si>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</si>
  <si>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</si>
  <si>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</si>
  <si>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</si>
  <si>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</si>
  <si>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</si>
  <si>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</si>
  <si>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</si>
  <si>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</si>
  <si>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</si>
  <si>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</si>
  <si>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</si>
  <si>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</si>
  <si>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</si>
  <si>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</si>
  <si>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</si>
  <si>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</si>
  <si>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</si>
  <si>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</si>
  <si>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</si>
  <si>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</si>
  <si>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</si>
  <si>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</si>
  <si>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</si>
  <si>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</si>
  <si>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</si>
  <si>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</si>
  <si>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</si>
  <si>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</si>
  <si>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</si>
  <si>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</si>
  <si>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</si>
  <si>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</si>
  <si>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</si>
  <si>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</si>
  <si>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</si>
  <si>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</si>
  <si>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</si>
  <si>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</si>
  <si>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</si>
  <si>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</si>
  <si>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</si>
  <si>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</si>
  <si>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</si>
  <si>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</si>
  <si>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</si>
  <si>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</si>
  <si>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</si>
  <si>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</si>
  <si>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</si>
  <si>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</si>
  <si>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</si>
  <si>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</si>
  <si>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</si>
  <si>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</si>
  <si>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</si>
  <si>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</si>
  <si>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</si>
  <si>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</si>
  <si>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</si>
  <si>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</si>
  <si>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</si>
  <si>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</si>
  <si>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</si>
  <si>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</si>
  <si>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</si>
  <si>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</si>
  <si>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</si>
  <si>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</si>
  <si>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</si>
  <si>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</si>
  <si>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</si>
  <si>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</si>
  <si>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</si>
  <si>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</si>
  <si>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</si>
  <si>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</si>
  <si>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</si>
  <si>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</si>
  <si>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</si>
  <si>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</si>
  <si>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</si>
  <si>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</si>
  <si>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</si>
  <si>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</si>
  <si>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</si>
  <si>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</si>
  <si>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</si>
  <si>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</si>
  <si>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</si>
  <si>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</si>
  <si>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</si>
  <si>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</si>
  <si>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</si>
  <si>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</si>
  <si>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</si>
  <si>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</si>
  <si>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</si>
  <si>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</si>
  <si>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</si>
  <si>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</si>
  <si>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</si>
  <si>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</si>
  <si>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</si>
  <si>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</si>
  <si>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</si>
  <si>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</si>
  <si>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</si>
  <si>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</si>
  <si>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</si>
  <si>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</si>
  <si>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</si>
  <si>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</si>
  <si>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</si>
  <si>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</si>
  <si>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</si>
  <si>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</si>
  <si>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</si>
  <si>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</si>
  <si>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</si>
  <si>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</si>
  <si>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</si>
  <si>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</si>
  <si>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</si>
  <si>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</si>
  <si>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</si>
  <si>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</si>
  <si>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</si>
  <si>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</si>
  <si>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</si>
  <si>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</si>
  <si>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</si>
  <si>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</si>
  <si>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</si>
  <si>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</si>
  <si>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</si>
  <si>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</si>
  <si>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</si>
  <si>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</si>
  <si>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</si>
  <si>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</si>
  <si>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</si>
  <si>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</si>
  <si>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</si>
  <si>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</si>
  <si>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</si>
  <si>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</si>
  <si>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</si>
  <si>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</si>
  <si>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</si>
  <si>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</si>
  <si>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</si>
  <si>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</si>
  <si>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</si>
  <si>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</si>
  <si>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</si>
  <si>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</si>
  <si>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</si>
  <si>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</si>
  <si>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</si>
  <si>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</si>
  <si>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</si>
  <si>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</si>
  <si>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</si>
  <si>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</si>
  <si>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</si>
  <si>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</si>
  <si>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</si>
  <si>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</si>
  <si>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</si>
  <si>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</si>
  <si>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</si>
  <si>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</si>
  <si>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</si>
  <si>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</si>
  <si>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</si>
  <si>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</si>
  <si>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</si>
  <si>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</si>
  <si>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</si>
  <si>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</si>
  <si>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</si>
  <si>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</si>
  <si>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</si>
  <si>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</si>
  <si>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</si>
  <si>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</si>
  <si>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</si>
  <si>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</si>
  <si>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</si>
  <si>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</si>
  <si>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</si>
  <si>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</si>
  <si>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</si>
  <si>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</si>
  <si>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</si>
  <si>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</si>
  <si>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</si>
  <si>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</si>
  <si>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</si>
  <si>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</si>
  <si>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</si>
  <si>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</si>
  <si>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</si>
  <si>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</si>
  <si>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</si>
  <si>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</si>
  <si>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</si>
  <si>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</si>
  <si>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</si>
  <si>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</si>
  <si>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</si>
  <si>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</si>
  <si>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</si>
  <si>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</si>
  <si>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</si>
  <si>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</si>
  <si>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</si>
  <si>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</si>
  <si>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</si>
  <si>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</si>
  <si>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</si>
  <si>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</si>
  <si>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</si>
  <si>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</si>
  <si>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</si>
  <si>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</si>
  <si>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</si>
  <si>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</si>
  <si>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</si>
  <si>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</si>
  <si>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</si>
  <si>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</si>
  <si>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</si>
  <si>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</si>
  <si>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</si>
  <si>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</si>
  <si>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</si>
  <si>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</si>
  <si>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</si>
  <si>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</si>
  <si>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</si>
  <si>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</si>
  <si>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</si>
  <si>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</si>
  <si>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</si>
  <si>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</si>
  <si>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</si>
  <si>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</si>
  <si>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</si>
  <si>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</si>
  <si>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</si>
  <si>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</si>
  <si>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</si>
  <si>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</si>
  <si>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</si>
  <si>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</si>
  <si>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</si>
  <si>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</si>
  <si>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</si>
  <si>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</si>
  <si>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</si>
  <si>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</si>
  <si>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</si>
  <si>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</si>
  <si>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</si>
  <si>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</si>
  <si>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</si>
  <si>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</si>
  <si>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</si>
  <si>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</si>
  <si>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</si>
  <si>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</si>
  <si>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</si>
  <si>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</si>
  <si>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</si>
  <si>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</si>
  <si>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</si>
  <si>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</si>
  <si>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</si>
  <si>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</si>
  <si>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</si>
  <si>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</si>
  <si>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</si>
  <si>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</si>
  <si>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</si>
  <si>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</si>
  <si>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</si>
  <si>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</si>
  <si>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</si>
  <si>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</si>
  <si>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</si>
  <si>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</si>
  <si>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</si>
  <si>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</si>
  <si>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</si>
  <si>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</si>
  <si>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</si>
  <si>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</si>
  <si>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</si>
  <si>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</si>
  <si>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</si>
  <si>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</si>
  <si>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</si>
  <si>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</si>
  <si>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</si>
  <si>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</si>
  <si>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</si>
  <si>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</si>
  <si>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</si>
  <si>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</si>
  <si>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</si>
  <si>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</si>
  <si>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</si>
  <si>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</si>
  <si>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</si>
  <si>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</si>
  <si>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</si>
  <si>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</si>
  <si>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</si>
  <si>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</si>
  <si>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</si>
  <si>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</si>
  <si>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</si>
  <si>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</si>
  <si>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</si>
  <si>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</si>
  <si>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</si>
  <si>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</si>
  <si>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</si>
  <si>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</si>
  <si>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</si>
  <si>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</si>
  <si>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</si>
  <si>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</si>
  <si>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</si>
  <si>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</si>
  <si>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</si>
  <si>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</si>
  <si>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</si>
  <si>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</si>
  <si>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</si>
  <si>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</si>
  <si>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</si>
  <si>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</si>
  <si>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</si>
  <si>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</si>
  <si>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</si>
  <si>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</si>
  <si>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</si>
  <si>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</si>
  <si>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</si>
  <si>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</si>
  <si>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</si>
  <si>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</si>
  <si>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</si>
  <si>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</si>
  <si>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</si>
  <si>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</si>
  <si>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</si>
  <si>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</si>
  <si>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</si>
  <si>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</si>
  <si>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</si>
  <si>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</si>
  <si>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</si>
  <si>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</si>
  <si>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</si>
  <si>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</si>
  <si>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</si>
  <si>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</si>
  <si>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</si>
  <si>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</si>
  <si>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</si>
  <si>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</si>
  <si>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</si>
  <si>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</si>
  <si>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</si>
  <si>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</si>
  <si>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</si>
  <si>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</si>
  <si>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</si>
  <si>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</si>
  <si>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</si>
  <si>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</si>
  <si>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</si>
  <si>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</si>
  <si>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</si>
  <si>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</si>
  <si>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</si>
  <si>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</si>
  <si>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</si>
  <si>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</si>
  <si>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</si>
  <si>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</si>
  <si>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</si>
  <si>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</si>
  <si>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</si>
  <si>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</si>
  <si>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</si>
  <si>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</si>
  <si>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</si>
  <si>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</si>
  <si>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</si>
  <si>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</si>
  <si>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</si>
  <si>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</si>
  <si>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</si>
  <si>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</si>
  <si>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</si>
  <si>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</si>
  <si>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</si>
  <si>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</si>
  <si>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</si>
  <si>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</si>
  <si>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</si>
  <si>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</si>
  <si>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</si>
  <si>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</si>
  <si>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</si>
  <si>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</si>
  <si>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</si>
  <si>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</si>
  <si>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</si>
  <si>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</si>
  <si>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</si>
  <si>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</si>
  <si>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</si>
  <si>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</si>
  <si>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</si>
  <si>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</si>
  <si>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</si>
  <si>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</si>
  <si>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</si>
  <si>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</si>
  <si>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</si>
  <si>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</si>
  <si>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</si>
  <si>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</si>
  <si>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</si>
  <si>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</si>
  <si>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</si>
  <si>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</si>
  <si>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</si>
  <si>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</si>
  <si>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</si>
  <si>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</si>
  <si>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</si>
  <si>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</si>
  <si>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</si>
  <si>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</si>
  <si>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</si>
  <si>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</si>
  <si>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</si>
  <si>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</si>
  <si>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</si>
  <si>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</si>
  <si>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</si>
  <si>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</si>
  <si>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</si>
  <si>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</si>
  <si>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</si>
  <si>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</si>
  <si>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</si>
  <si>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</si>
  <si>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</si>
  <si>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</si>
  <si>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</si>
  <si>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</si>
  <si>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</si>
  <si>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</si>
  <si>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</si>
  <si>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</si>
  <si>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</si>
  <si>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</si>
  <si>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</si>
  <si>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</si>
  <si>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</si>
  <si>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</si>
  <si>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</si>
  <si>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</si>
  <si>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</si>
  <si>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</si>
  <si>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</si>
  <si>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</si>
  <si>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</si>
  <si>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</si>
  <si>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</si>
  <si>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</si>
  <si>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</si>
  <si>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</si>
  <si>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</si>
  <si>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</si>
  <si>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</si>
  <si>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</si>
  <si>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</si>
  <si>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</si>
  <si>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</si>
  <si>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</si>
  <si>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</si>
  <si>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</si>
  <si>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</si>
  <si>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</si>
  <si>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</si>
  <si>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</si>
  <si>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</si>
  <si>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</si>
  <si>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</si>
  <si>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</si>
  <si>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</si>
  <si>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</si>
  <si>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</si>
  <si>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</si>
  <si>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</si>
  <si>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</si>
  <si>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</si>
  <si>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</si>
  <si>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</si>
  <si>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</si>
  <si>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</si>
  <si>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</si>
  <si>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</si>
  <si>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</si>
  <si>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</si>
  <si>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</si>
  <si>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</si>
  <si>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</si>
  <si>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</si>
  <si>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</si>
  <si>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</si>
  <si>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</si>
  <si>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</si>
  <si>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</si>
  <si>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</si>
  <si>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</si>
  <si>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</si>
  <si>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</si>
  <si>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</si>
  <si>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</si>
  <si>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</si>
  <si>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</si>
  <si>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</si>
  <si>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</si>
  <si>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</si>
  <si>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</si>
  <si>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</si>
  <si>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</si>
  <si>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</si>
  <si>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</si>
  <si>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</si>
  <si>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</si>
  <si>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</si>
  <si>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</si>
  <si>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</si>
  <si>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</si>
  <si>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</si>
  <si>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</si>
  <si>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</si>
  <si>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</si>
  <si>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</si>
  <si>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</si>
  <si>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</si>
  <si>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</si>
  <si>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</si>
  <si>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</si>
  <si>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</si>
  <si>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</si>
  <si>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</si>
  <si>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</si>
  <si>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</si>
  <si>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</si>
  <si>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</si>
  <si>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</si>
  <si>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</si>
  <si>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</si>
  <si>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</si>
  <si>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</si>
  <si>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</si>
  <si>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</si>
  <si>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</si>
  <si>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</si>
  <si>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</si>
  <si>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</si>
  <si>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</si>
  <si>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</si>
  <si>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</si>
  <si>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</si>
  <si>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</si>
  <si>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</si>
  <si>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</si>
  <si>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</si>
  <si>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</si>
  <si>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</si>
  <si>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</si>
  <si>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</si>
  <si>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</si>
  <si>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</si>
  <si>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</si>
  <si>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</si>
  <si>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</si>
  <si>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</si>
  <si>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</si>
  <si>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</si>
  <si>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</si>
  <si>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</si>
  <si>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</si>
  <si>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</si>
  <si>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</si>
  <si>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</si>
  <si>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</si>
  <si>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</si>
  <si>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</si>
  <si>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</si>
  <si>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</si>
  <si>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</si>
  <si>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</si>
  <si>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</si>
  <si>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</si>
  <si>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</si>
  <si>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</si>
  <si>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</si>
  <si>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</si>
  <si>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</si>
  <si>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</si>
  <si>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</si>
  <si>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</si>
  <si>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</si>
  <si>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</si>
  <si>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</si>
  <si>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</si>
  <si>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</si>
  <si>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</si>
  <si>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</si>
  <si>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</si>
  <si>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</si>
  <si>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</si>
  <si>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</si>
  <si>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</si>
  <si>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</si>
  <si>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</si>
  <si>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</si>
  <si>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</si>
  <si>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</si>
  <si>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</si>
  <si>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</si>
  <si>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</si>
  <si>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</si>
  <si>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</si>
  <si>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</si>
  <si>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</si>
  <si>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</si>
  <si>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</si>
  <si>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</si>
  <si>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</si>
  <si>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</si>
  <si>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</si>
  <si>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</si>
  <si>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</si>
  <si>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</si>
  <si>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</si>
  <si>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</si>
  <si>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</si>
  <si>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</si>
  <si>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</si>
  <si>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</si>
  <si>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</si>
  <si>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</si>
  <si>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</si>
  <si>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</si>
  <si>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</si>
  <si>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</si>
  <si>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</si>
  <si>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</si>
  <si>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</si>
  <si>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</si>
  <si>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</si>
  <si>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</si>
  <si>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</si>
  <si>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</si>
  <si>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</si>
  <si>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</si>
  <si>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</si>
  <si>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</si>
  <si>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</si>
  <si>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</si>
  <si>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</si>
  <si>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</si>
  <si>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</si>
  <si>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</si>
  <si>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</si>
  <si>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</si>
  <si>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</si>
  <si>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</si>
  <si>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</si>
  <si>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</si>
  <si>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</si>
  <si>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</si>
  <si>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</si>
  <si>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</si>
  <si>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</si>
  <si>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</si>
  <si>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</si>
  <si>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</si>
  <si>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</si>
  <si>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</si>
  <si>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</si>
  <si>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</si>
  <si>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</si>
  <si>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</si>
  <si>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</si>
  <si>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</si>
  <si>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</si>
  <si>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</si>
  <si>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</si>
  <si>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</si>
  <si>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</si>
  <si>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</si>
  <si>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</si>
  <si>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</si>
  <si>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</si>
  <si>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</si>
  <si>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</si>
  <si>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</si>
  <si>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</si>
  <si>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</si>
  <si>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</si>
  <si>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</si>
  <si>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</si>
  <si>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</si>
  <si>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</si>
  <si>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</si>
  <si>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</si>
  <si>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</si>
  <si>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</si>
  <si>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</si>
  <si>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</si>
  <si>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</si>
  <si>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</si>
  <si>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</si>
  <si>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</si>
  <si>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</si>
  <si>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</si>
  <si>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</si>
  <si>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</si>
  <si>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</si>
  <si>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</si>
  <si>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</si>
  <si>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</si>
  <si>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</si>
  <si>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</si>
  <si>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</si>
  <si>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</si>
  <si>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</si>
  <si>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</si>
  <si>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</si>
  <si>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</si>
  <si>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</si>
  <si>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</si>
  <si>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</si>
  <si>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</si>
  <si>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</si>
  <si>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</si>
  <si>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</si>
  <si>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</si>
  <si>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</si>
  <si>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</si>
  <si>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</si>
  <si>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</si>
  <si>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</si>
  <si>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</si>
  <si>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</si>
  <si>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</si>
  <si>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</si>
  <si>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</si>
  <si>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</si>
  <si>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</si>
  <si>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</si>
  <si>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</si>
  <si>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</si>
  <si>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</si>
  <si>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</si>
  <si>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</si>
  <si>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</si>
  <si>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</si>
  <si>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</si>
  <si>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</si>
  <si>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</si>
  <si>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</si>
  <si>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</si>
  <si>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</si>
  <si>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</si>
  <si>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</si>
  <si>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</si>
  <si>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</si>
  <si>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</si>
  <si>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</si>
  <si>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</si>
  <si>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</si>
  <si>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</si>
  <si>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</si>
  <si>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</si>
  <si>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</si>
  <si>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</si>
  <si>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</si>
  <si>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</si>
  <si>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</si>
  <si>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</si>
  <si>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</si>
  <si>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</si>
  <si>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</si>
  <si>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</si>
  <si>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</si>
  <si>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</si>
  <si>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</si>
  <si>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</si>
  <si>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</si>
  <si>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</si>
  <si>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</si>
  <si>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</si>
  <si>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</si>
  <si>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</si>
  <si>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</si>
  <si>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</si>
  <si>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</si>
  <si>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</si>
  <si>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</si>
  <si>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</si>
  <si>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</si>
  <si>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</si>
  <si>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</si>
  <si>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</si>
  <si>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</si>
  <si>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</si>
  <si>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</si>
  <si>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</si>
  <si>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</si>
  <si>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</si>
  <si>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</si>
  <si>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</si>
  <si>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</si>
  <si>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</si>
  <si>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</si>
  <si>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</si>
  <si>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</si>
  <si>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</si>
  <si>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</si>
  <si>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</si>
  <si>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</si>
  <si>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</si>
  <si>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</si>
  <si>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</si>
  <si>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</si>
  <si>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</si>
  <si>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</si>
  <si>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</si>
  <si>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</si>
  <si>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</si>
  <si>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</si>
  <si>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</si>
  <si>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</si>
  <si>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</si>
  <si>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</si>
  <si>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</si>
  <si>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</si>
  <si>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</si>
  <si>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</si>
  <si>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</si>
  <si>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</si>
  <si>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</si>
  <si>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</si>
  <si>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</si>
  <si>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</si>
  <si>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</si>
  <si>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</si>
  <si>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</si>
  <si>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</si>
  <si>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</si>
  <si>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</si>
  <si>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</si>
  <si>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</si>
  <si>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</si>
  <si>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</si>
  <si>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</si>
  <si>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</si>
  <si>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</si>
  <si>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</si>
  <si>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</si>
  <si>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</si>
  <si>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</si>
  <si>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</si>
  <si>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</si>
  <si>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</si>
  <si>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</si>
  <si>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</si>
  <si>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</si>
  <si>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</si>
  <si>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</si>
  <si>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</si>
  <si>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</si>
  <si>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</si>
  <si>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</si>
  <si>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</si>
  <si>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</si>
  <si>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</si>
  <si>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</si>
  <si>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</si>
  <si>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</si>
  <si>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</si>
  <si>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</si>
  <si>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</si>
  <si>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</si>
  <si>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</si>
  <si>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</si>
  <si>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</si>
  <si>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</si>
  <si>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</si>
  <si>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</si>
  <si>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</si>
  <si>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</si>
  <si>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</si>
  <si>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</si>
  <si>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</si>
  <si>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</si>
  <si>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</si>
  <si>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</si>
  <si>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</si>
  <si>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</si>
  <si>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</si>
  <si>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</si>
  <si>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</si>
  <si>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</si>
  <si>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</si>
  <si>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</si>
  <si>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</si>
  <si>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</si>
  <si>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</si>
  <si>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</si>
  <si>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</si>
  <si>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</si>
  <si>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</si>
  <si>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</si>
  <si>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</si>
  <si>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</si>
  <si>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</si>
  <si>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</si>
  <si>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</si>
  <si>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</si>
  <si>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</si>
  <si>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</si>
  <si>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</si>
  <si>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</si>
  <si>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</si>
  <si>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</si>
  <si>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</si>
  <si>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</si>
  <si>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</si>
  <si>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</si>
  <si>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</si>
  <si>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</si>
  <si>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</si>
  <si>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</si>
  <si>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</si>
  <si>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</si>
  <si>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</si>
  <si>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</si>
  <si>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</si>
  <si>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</si>
  <si>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</si>
  <si>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</si>
  <si>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</si>
  <si>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</si>
  <si>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</si>
  <si>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</si>
  <si>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</si>
  <si>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</si>
  <si>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</si>
  <si>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</si>
  <si>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</si>
  <si>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</si>
  <si>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</si>
  <si>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</si>
  <si>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</si>
  <si>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</si>
  <si>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</si>
  <si>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</si>
  <si>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</si>
  <si>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</si>
  <si>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</si>
  <si>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</si>
  <si>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</si>
  <si>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</si>
  <si>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</si>
  <si>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</si>
  <si>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</si>
  <si>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</si>
  <si>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</si>
  <si>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</si>
  <si>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</si>
  <si>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</si>
  <si>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</si>
  <si>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</si>
  <si>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</si>
  <si>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</si>
  <si>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</si>
  <si>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</si>
  <si>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</si>
  <si>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</si>
  <si>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</si>
  <si>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</si>
  <si>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</si>
  <si>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</si>
  <si>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</si>
  <si>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</si>
  <si>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</si>
  <si>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</si>
  <si>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</si>
  <si>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</si>
  <si>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</si>
  <si>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</si>
  <si>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</si>
  <si>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</si>
  <si>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</si>
  <si>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</si>
  <si>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</si>
  <si>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</si>
  <si>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</si>
  <si>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</si>
  <si>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</si>
  <si>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</si>
  <si>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</si>
  <si>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</si>
  <si>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</si>
  <si>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</si>
  <si>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</si>
  <si>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</si>
  <si>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</si>
  <si>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</si>
  <si>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</si>
  <si>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</si>
  <si>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</si>
  <si>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</si>
  <si>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</si>
  <si>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</si>
  <si>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</si>
  <si>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</si>
  <si>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</si>
  <si>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</si>
  <si>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</si>
  <si>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</si>
  <si>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</si>
  <si>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</si>
  <si>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</si>
  <si>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</si>
  <si>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</si>
  <si>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</si>
  <si>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</si>
  <si>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</si>
  <si>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</si>
  <si>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</si>
  <si>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</si>
  <si>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</si>
  <si>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</si>
  <si>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</si>
  <si>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</si>
  <si>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</si>
  <si>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</si>
  <si>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</si>
  <si>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</si>
  <si>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</si>
  <si>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</si>
  <si>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</si>
  <si>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</si>
  <si>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</si>
  <si>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</si>
  <si>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</si>
  <si>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</si>
  <si>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</si>
  <si>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</si>
  <si>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</si>
  <si>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</si>
  <si>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</si>
  <si>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</si>
  <si>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</si>
  <si>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</si>
  <si>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</si>
  <si>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</si>
  <si>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</si>
  <si>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</si>
  <si>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</si>
  <si>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</si>
  <si>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</si>
  <si>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</si>
  <si>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</si>
  <si>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</si>
  <si>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</si>
  <si>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</si>
  <si>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</si>
  <si>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</si>
  <si>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</si>
  <si>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</si>
  <si>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</si>
  <si>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</si>
  <si>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</si>
  <si>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</si>
  <si>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</si>
  <si>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</si>
  <si>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</si>
  <si>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</si>
  <si>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</si>
  <si>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</si>
  <si>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</si>
  <si>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</si>
  <si>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</si>
  <si>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</si>
  <si>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</si>
  <si>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</si>
  <si>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</si>
  <si>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</si>
  <si>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</si>
  <si>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</si>
  <si>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</si>
  <si>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</si>
  <si>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</si>
  <si>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</si>
  <si>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</si>
  <si>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</si>
  <si>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</si>
  <si>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</si>
  <si>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</si>
  <si>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</si>
  <si>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</si>
  <si>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</si>
  <si>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</si>
  <si>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</si>
  <si>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</si>
  <si>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</si>
  <si>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</si>
  <si>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</si>
  <si>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</si>
  <si>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</si>
  <si>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</si>
  <si>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</si>
  <si>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</si>
  <si>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</si>
  <si>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</si>
  <si>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</si>
  <si>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</si>
  <si>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</si>
  <si>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</si>
  <si>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</si>
  <si>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</si>
  <si>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</si>
  <si>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</si>
  <si>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</si>
  <si>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</si>
  <si>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</si>
  <si>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</si>
  <si>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</si>
  <si>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</si>
  <si>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</si>
  <si>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</si>
  <si>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</si>
  <si>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</si>
  <si>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</si>
  <si>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</si>
  <si>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</si>
  <si>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</si>
  <si>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</si>
  <si>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</si>
  <si>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</si>
  <si>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</si>
  <si>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</si>
  <si>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</si>
  <si>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</si>
  <si>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</si>
  <si>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</si>
  <si>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</si>
  <si>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</si>
  <si>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</si>
  <si>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</si>
  <si>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</si>
  <si>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</si>
  <si>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</si>
  <si>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</si>
  <si>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</si>
  <si>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</si>
  <si>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</si>
  <si>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</si>
  <si>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</si>
  <si>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</si>
  <si>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</si>
  <si>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</si>
  <si>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</si>
  <si>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</si>
  <si>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</si>
  <si>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</si>
  <si>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</si>
  <si>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</si>
  <si>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</si>
  <si>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</si>
  <si>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</si>
  <si>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</si>
  <si>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</si>
  <si>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</si>
  <si>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</si>
  <si>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</si>
  <si>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</si>
  <si>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</si>
  <si>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</si>
  <si>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</si>
  <si>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</si>
  <si>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</si>
  <si>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</si>
  <si>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</si>
  <si>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</si>
  <si>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</si>
  <si>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</si>
  <si>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</si>
  <si>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</si>
  <si>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</si>
  <si>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</si>
  <si>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</si>
  <si>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</si>
  <si>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</si>
  <si>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</si>
  <si>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</si>
  <si>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</si>
  <si>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</si>
  <si>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</si>
  <si>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</si>
  <si>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</si>
  <si>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</si>
  <si>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</si>
  <si>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</si>
  <si>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</si>
  <si>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</si>
  <si>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</si>
  <si>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</si>
  <si>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</si>
  <si>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</si>
  <si>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</si>
  <si>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</si>
  <si>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</si>
  <si>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</si>
  <si>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</si>
  <si>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</si>
  <si>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</si>
  <si>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</si>
  <si>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</si>
  <si>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</si>
  <si>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</si>
  <si>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</si>
  <si>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</si>
  <si>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</si>
  <si>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</si>
  <si>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</si>
  <si>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</si>
  <si>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</si>
  <si>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</si>
  <si>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</si>
  <si>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</si>
  <si>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</si>
  <si>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</si>
  <si>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</si>
  <si>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</si>
  <si>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</si>
  <si>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</si>
  <si>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</si>
  <si>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</si>
  <si>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</si>
  <si>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</si>
  <si>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</si>
  <si>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</si>
  <si>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</si>
  <si>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</si>
  <si>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</si>
  <si>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</si>
  <si>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</si>
  <si>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</si>
  <si>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</si>
  <si>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</si>
  <si>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</si>
  <si>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</si>
  <si>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</si>
  <si>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</si>
  <si>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</si>
  <si>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</si>
  <si>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</si>
  <si>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</si>
  <si>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</si>
  <si>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</si>
  <si>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</si>
  <si>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</si>
  <si>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</si>
  <si>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</si>
  <si>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</si>
  <si>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</si>
  <si>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</si>
  <si>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</si>
  <si>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</si>
  <si>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</si>
  <si>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</si>
  <si>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</si>
  <si>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</si>
  <si>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</si>
  <si>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</si>
  <si>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</si>
  <si>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</si>
  <si>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</si>
  <si>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</si>
  <si>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</si>
  <si>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</si>
  <si>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</si>
  <si>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</si>
  <si>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</si>
  <si>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</si>
  <si>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</si>
  <si>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</si>
  <si>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</si>
  <si>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</si>
  <si>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</si>
  <si>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</si>
  <si>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</si>
  <si>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</si>
  <si>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</si>
  <si>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</si>
  <si>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</si>
  <si>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</si>
  <si>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</si>
  <si>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</si>
  <si>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</si>
  <si>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</si>
  <si>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</si>
  <si>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EYGUES</t>
  </si>
  <si>
    <t xml:space="preserve">AYGUES A CADEROUSSE</t>
  </si>
  <si>
    <t xml:space="preserve">06117500</t>
  </si>
  <si>
    <t xml:space="preserve">(Date)</t>
  </si>
  <si>
    <t xml:space="preserve">18/07/2016</t>
  </si>
  <si>
    <t xml:space="preserve">Résultats</t>
  </si>
  <si>
    <t xml:space="preserve">Robustesse:</t>
  </si>
  <si>
    <t xml:space="preserve">Unité(s) de relevé</t>
  </si>
  <si>
    <t xml:space="preserve">UR1</t>
  </si>
  <si>
    <t xml:space="preserve">UR2</t>
  </si>
  <si>
    <t xml:space="preserve">Faciès dominant</t>
  </si>
  <si>
    <t xml:space="preserve">ch. lotique</t>
  </si>
  <si>
    <t xml:space="preserve">pl. lent</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</si>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</sst>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6.9344262295082</v>
      </c>
      <c r="N5" s="324"/>
      <c r="O5" s="325" t="s">
        <v>1681</v>
      </c>
      <c r="P5" s="326" t="n">
        <v>7.44230769230769</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7.1</v>
      </c>
      <c r="C7" s="342" t="n">
        <v>92.9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7.95454545454545</v>
      </c>
      <c r="P8" s="356" t="n">
        <f aca="false">IF(ISERROR(AVERAGE(K23:K82)),"  ",AVERAGE(K23:K82))</f>
        <v>1.68181818181818</v>
      </c>
      <c r="Q8" s="357"/>
      <c r="R8" s="281"/>
      <c r="S8" s="281"/>
      <c r="T8" s="281"/>
      <c r="U8" s="281"/>
      <c r="V8" s="281"/>
      <c r="W8" s="295"/>
      <c r="X8" s="0"/>
      <c r="Y8" s="0"/>
      <c r="Z8" s="0"/>
    </row>
    <row r="9" customFormat="false" ht="12.75" hidden="false" customHeight="false" outlineLevel="0" collapsed="false">
      <c r="A9" s="314" t="s">
        <v>3399</v>
      </c>
      <c r="B9" s="358" t="n">
        <v>5</v>
      </c>
      <c r="C9" s="359" t="n">
        <v>60</v>
      </c>
      <c r="D9" s="360"/>
      <c r="E9" s="360"/>
      <c r="F9" s="361" t="n">
        <f aca="false">($B9*$B$7+$C9*$C$7)/100</f>
        <v>56.095</v>
      </c>
      <c r="G9" s="362"/>
      <c r="H9" s="317"/>
      <c r="I9" s="281"/>
      <c r="J9" s="363"/>
      <c r="K9" s="364"/>
      <c r="L9" s="347"/>
      <c r="M9" s="365"/>
      <c r="N9" s="355" t="s">
        <v>3400</v>
      </c>
      <c r="O9" s="356" t="n">
        <f aca="false">IF(ISERROR(STDEVP(J23:J82))," ",STDEVP(J23:J82))</f>
        <v>2.93067278542089</v>
      </c>
      <c r="P9" s="356" t="n">
        <f aca="false">IF(ISERROR(STDEVP(K23:K82)),"  ",STDEVP(K23:K82))</f>
        <v>0.631474726793173</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7</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1</v>
      </c>
      <c r="M13" s="381"/>
      <c r="N13" s="389" t="s">
        <v>3412</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2</v>
      </c>
      <c r="M14" s="381"/>
      <c r="N14" s="392" t="s">
        <v>3415</v>
      </c>
      <c r="O14" s="393" t="n">
        <f aca="false">COUNTIF($J$23:$J$82,"&gt;-1")</f>
        <v>22</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16</v>
      </c>
      <c r="M15" s="381"/>
      <c r="N15" s="389" t="s">
        <v>3418</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0.846153846153846</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6.02</v>
      </c>
      <c r="C20" s="433" t="n">
        <f aca="false">SUM(C23:C82)</f>
        <v>80.675</v>
      </c>
      <c r="D20" s="434"/>
      <c r="E20" s="435" t="s">
        <v>3425</v>
      </c>
      <c r="F20" s="436" t="n">
        <f aca="false">($B20*$B$7+$C20*$C$7)/100</f>
        <v>75.374495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0.42742</v>
      </c>
      <c r="C21" s="444" t="n">
        <f aca="false">C20*C7/100</f>
        <v>74.947075</v>
      </c>
      <c r="D21" s="445" t="s">
        <v>3428</v>
      </c>
      <c r="E21" s="446"/>
      <c r="F21" s="447" t="n">
        <f aca="false">B21+C21</f>
        <v>75.374495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0.01</v>
      </c>
      <c r="C23" s="473" t="n">
        <v>0.1</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0.09361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0.09361</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228</v>
      </c>
      <c r="B24" s="490" t="n">
        <v>0.005</v>
      </c>
      <c r="C24" s="491" t="n">
        <v>0.05</v>
      </c>
      <c r="D24" s="492" t="str">
        <f aca="false">IF(ISERROR(VLOOKUP($A24,'liste reference'!$A$6:$B$1174,2,0)),IF(ISERROR(VLOOKUP($A24,'liste reference'!$B$6:$B$1174,1,0)),"",VLOOKUP($A24,'liste reference'!$B$6:$B$1174,1,0)),VLOOKUP($A24,'liste reference'!$A$6:$B$1174,2,0))</f>
        <v>Melosira sp.</v>
      </c>
      <c r="E24" s="493" t="e">
        <f aca="false">IF(D24="",0,VLOOKUP(D24,D$22:D23,1,0))</f>
        <v>#N/A</v>
      </c>
      <c r="F24" s="494" t="n">
        <f aca="false">IF(AND(OR(A24="",A24="!!!!!!"),B24="",C24=""),"",IF(OR(AND(B24="",C24=""),ISERROR(C24+B24)),"!!!",($B24*$B$7+$C24*$C$7)/100))</f>
        <v>0.046805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8714</v>
      </c>
      <c r="R24" s="484" t="n">
        <f aca="false">IF(ISTEXT(H24),"",(B24*$B$7/100)+(C24*$C$7/100))</f>
        <v>0.046805</v>
      </c>
      <c r="S24" s="485" t="n">
        <f aca="false">IF(OR(ISTEXT(H24),R24=0),"",IF(R24&lt;0.1,1,IF(R24&lt;1,2,IF(R24&lt;10,3,IF(R24&lt;50,4,IF(R24&gt;=50,5,""))))))</f>
        <v>1</v>
      </c>
      <c r="T24" s="485" t="n">
        <f aca="false">IF(ISERROR(S24*J24),0,S24*J24)</f>
        <v>10</v>
      </c>
      <c r="U24" s="485" t="n">
        <f aca="false">IF(ISERROR(S24*J24*K24),0,S24*J24*K24)</f>
        <v>10</v>
      </c>
      <c r="V24" s="501" t="n">
        <f aca="false">IF(ISERROR(S24*K24),0,S24*K24)</f>
        <v>1</v>
      </c>
      <c r="W24" s="502"/>
      <c r="X24" s="503"/>
      <c r="Y24" s="488" t="str">
        <f aca="false">IF(AND(ISNUMBER(F24),OR(A24="",A24="!!!!!!")),"!!!!!!",IF(A24="new.cod","NEWCOD",IF(AND((Z24=""),ISTEXT(A24),A24&lt;&gt;"!!!!!!"),A24,IF(Z24="","",INDEX('liste reference'!$A$6:$A$1174,Z24)))))</f>
        <v>MELSPX</v>
      </c>
      <c r="Z24" s="470" t="n">
        <f aca="false">IF(ISERROR(MATCH(A24,'liste reference'!$A$6:$A$1174,0)),IF(ISERROR(MATCH(A24,'liste reference'!$B$6:$B$1174,0)),"",(MATCH(A24,'liste reference'!$B$6:$B$1174,0))),(MATCH(A24,'liste reference'!$A$6:$A$1174,0)))</f>
        <v>62</v>
      </c>
    </row>
    <row r="25" customFormat="false" ht="12.75" hidden="false" customHeight="false" outlineLevel="0" collapsed="false">
      <c r="A25" s="489" t="s">
        <v>300</v>
      </c>
      <c r="B25" s="490" t="n">
        <v>0.005</v>
      </c>
      <c r="C25" s="491" t="n">
        <v>0.02</v>
      </c>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0.018935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0.018935</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309</v>
      </c>
      <c r="B26" s="490" t="n">
        <v>0.2</v>
      </c>
      <c r="C26" s="491"/>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0.0142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0.0142</v>
      </c>
      <c r="S26" s="485" t="n">
        <f aca="false">IF(OR(ISTEXT(H26),R26=0),"",IF(R26&lt;0.1,1,IF(R26&lt;1,2,IF(R26&lt;10,3,IF(R26&lt;50,4,IF(R26&gt;=50,5,""))))))</f>
        <v>1</v>
      </c>
      <c r="T26" s="485" t="n">
        <f aca="false">IF(ISERROR(S26*J26),0,S26*J26)</f>
        <v>13</v>
      </c>
      <c r="U26" s="485" t="n">
        <f aca="false">IF(ISERROR(S26*J26*K26),0,S26*J26*K26)</f>
        <v>26</v>
      </c>
      <c r="V26" s="501" t="n">
        <f aca="false">IF(ISERROR(S26*K26),0,S26*K26)</f>
        <v>2</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343</v>
      </c>
      <c r="B27" s="490"/>
      <c r="C27" s="491" t="n">
        <v>0.01</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0.00929</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0.00929</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355</v>
      </c>
      <c r="B28" s="490" t="n">
        <v>0.005</v>
      </c>
      <c r="C28" s="491" t="n">
        <v>0.005</v>
      </c>
      <c r="D28" s="492" t="str">
        <f aca="false">IF(ISERROR(VLOOKUP($A28,'liste reference'!$A$6:$B$1174,2,0)),IF(ISERROR(VLOOKUP($A28,'liste reference'!$B$6:$B$1174,1,0)),"",VLOOKUP($A28,'liste reference'!$B$6:$B$1174,1,0)),VLOOKUP($A28,'liste reference'!$A$6:$B$1174,2,0))</f>
        <v>Tetraspora sp.</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1138</v>
      </c>
      <c r="R28" s="484" t="n">
        <f aca="false">IF(ISTEXT(H28),"",(B28*$B$7/100)+(C28*$C$7/100))</f>
        <v>0.005</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TETSPX</v>
      </c>
      <c r="Z28" s="470" t="n">
        <f aca="false">IF(ISERROR(MATCH(A28,'liste reference'!$A$6:$A$1174,0)),IF(ISERROR(MATCH(A28,'liste reference'!$B$6:$B$1174,0)),"",(MATCH(A28,'liste reference'!$B$6:$B$1174,0))),(MATCH(A28,'liste reference'!$A$6:$A$1174,0)))</f>
        <v>107</v>
      </c>
    </row>
    <row r="29" customFormat="false" ht="12.75" hidden="false" customHeight="false" outlineLevel="0" collapsed="false">
      <c r="A29" s="489" t="s">
        <v>395</v>
      </c>
      <c r="B29" s="490" t="n">
        <v>0.01</v>
      </c>
      <c r="C29" s="491" t="n">
        <v>0.1</v>
      </c>
      <c r="D29" s="492" t="str">
        <f aca="false">IF(ISERROR(VLOOKUP($A29,'liste reference'!$A$6:$B$1174,2,0)),IF(ISERROR(VLOOKUP($A29,'liste reference'!$B$6:$B$1174,1,0)),"",VLOOKUP($A29,'liste reference'!$B$6:$B$1174,1,0)),VLOOKUP($A29,'liste reference'!$A$6:$B$1174,2,0))</f>
        <v>Vaucheria sp.</v>
      </c>
      <c r="E29" s="493" t="e">
        <f aca="false">IF(D29="",0,VLOOKUP(D29,D$22:D28,1,0))</f>
        <v>#N/A</v>
      </c>
      <c r="F29" s="494" t="n">
        <f aca="false">IF(AND(OR(A29="",A29="!!!!!!"),B29="",C29=""),"",IF(OR(AND(B29="",C29=""),ISERROR(C29+B29)),"!!!",($B29*$B$7+$C29*$C$7)/100))</f>
        <v>0.09361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1169</v>
      </c>
      <c r="R29" s="484" t="n">
        <f aca="false">IF(ISTEXT(H29),"",(B29*$B$7/100)+(C29*$C$7/100))</f>
        <v>0.09361</v>
      </c>
      <c r="S29" s="485" t="n">
        <f aca="false">IF(OR(ISTEXT(H29),R29=0),"",IF(R29&lt;0.1,1,IF(R29&lt;1,2,IF(R29&lt;10,3,IF(R29&lt;50,4,IF(R29&gt;=50,5,""))))))</f>
        <v>1</v>
      </c>
      <c r="T29" s="485" t="n">
        <f aca="false">IF(ISERROR(S29*J29),0,S29*J29)</f>
        <v>4</v>
      </c>
      <c r="U29" s="485" t="n">
        <f aca="false">IF(ISERROR(S29*J29*K29),0,S29*J29*K29)</f>
        <v>4</v>
      </c>
      <c r="V29" s="501" t="n">
        <f aca="false">IF(ISERROR(S29*K29),0,S29*K29)</f>
        <v>1</v>
      </c>
      <c r="W29" s="502"/>
      <c r="X29" s="503"/>
      <c r="Y29" s="488" t="str">
        <f aca="false">IF(AND(ISNUMBER(F29),OR(A29="",A29="!!!!!!")),"!!!!!!",IF(A29="new.cod","NEWCOD",IF(AND((Z29=""),ISTEXT(A29),A29&lt;&gt;"!!!!!!"),A29,IF(Z29="","",INDEX('liste reference'!$A$6:$A$1174,Z29)))))</f>
        <v>VAUSPX</v>
      </c>
      <c r="Z29" s="470" t="n">
        <f aca="false">IF(ISERROR(MATCH(A29,'liste reference'!$A$6:$A$1174,0)),IF(ISERROR(MATCH(A29,'liste reference'!$B$6:$B$1174,0)),"",(MATCH(A29,'liste reference'!$B$6:$B$1174,0))),(MATCH(A29,'liste reference'!$A$6:$A$1174,0)))</f>
        <v>118</v>
      </c>
    </row>
    <row r="30" customFormat="false" ht="12.75" hidden="false" customHeight="false" outlineLevel="0" collapsed="false">
      <c r="A30" s="489" t="s">
        <v>889</v>
      </c>
      <c r="B30" s="490"/>
      <c r="C30" s="491" t="n">
        <v>0.005</v>
      </c>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0.004645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0.004645</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1234</v>
      </c>
      <c r="B31" s="490" t="n">
        <v>0.005</v>
      </c>
      <c r="C31" s="491" t="n">
        <v>0.005</v>
      </c>
      <c r="D31" s="492" t="str">
        <f aca="false">IF(ISERROR(VLOOKUP($A31,'liste reference'!$A$6:$B$1174,2,0)),IF(ISERROR(VLOOKUP($A31,'liste reference'!$B$6:$B$1174,1,0)),"",VLOOKUP($A31,'liste reference'!$B$6:$B$1174,1,0)),VLOOKUP($A31,'liste reference'!$A$6:$B$1174,2,0))</f>
        <v>Azolla filiculoides</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n">
        <f aca="false">IF(ISNUMBER($H31),IF(ISERROR(VLOOKUP($A31,'liste reference'!$A$6:$Q$1174,6,0)),IF(ISERROR(VLOOKUP($A31,'liste reference'!$B$6:$Q$1174,5,0)),"nu",VLOOKUP($A31,'liste reference'!$B$6:$Q$1174,5,0)),VLOOKUP($A31,'liste reference'!$A$6:$Q$1174,6,0)),"nu")</f>
        <v>6</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Azolla filiculoides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1439</v>
      </c>
      <c r="R31" s="484" t="n">
        <f aca="false">IF(ISTEXT(H31),"",(B31*$B$7/100)+(C31*$C$7/100))</f>
        <v>0.005</v>
      </c>
      <c r="S31" s="485" t="n">
        <f aca="false">IF(OR(ISTEXT(H31),R31=0),"",IF(R31&lt;0.1,1,IF(R31&lt;1,2,IF(R31&lt;10,3,IF(R31&lt;50,4,IF(R31&gt;=50,5,""))))))</f>
        <v>1</v>
      </c>
      <c r="T31" s="485" t="n">
        <f aca="false">IF(ISERROR(S31*J31),0,S31*J31)</f>
        <v>6</v>
      </c>
      <c r="U31" s="485" t="n">
        <f aca="false">IF(ISERROR(S31*J31*K31),0,S31*J31*K31)</f>
        <v>18</v>
      </c>
      <c r="V31" s="501" t="n">
        <f aca="false">IF(ISERROR(S31*K31),0,S31*K31)</f>
        <v>3</v>
      </c>
      <c r="W31" s="502"/>
      <c r="X31" s="503"/>
      <c r="Y31" s="488" t="str">
        <f aca="false">IF(AND(ISNUMBER(F31),OR(A31="",A31="!!!!!!")),"!!!!!!",IF(A31="new.cod","NEWCOD",IF(AND((Z31=""),ISTEXT(A31),A31&lt;&gt;"!!!!!!"),A31,IF(Z31="","",INDEX('liste reference'!$A$6:$A$1174,Z31)))))</f>
        <v>AZOFIL</v>
      </c>
      <c r="Z31" s="470" t="n">
        <f aca="false">IF(ISERROR(MATCH(A31,'liste reference'!$A$6:$A$1174,0)),IF(ISERROR(MATCH(A31,'liste reference'!$B$6:$B$1174,0)),"",(MATCH(A31,'liste reference'!$B$6:$B$1174,0))),(MATCH(A31,'liste reference'!$A$6:$A$1174,0)))</f>
        <v>378</v>
      </c>
    </row>
    <row r="32" customFormat="false" ht="12.75" hidden="false" customHeight="false" outlineLevel="0" collapsed="false">
      <c r="A32" s="489" t="s">
        <v>1273</v>
      </c>
      <c r="B32" s="490" t="n">
        <v>0.005</v>
      </c>
      <c r="C32" s="491" t="n">
        <v>0.005</v>
      </c>
      <c r="D32" s="492" t="str">
        <f aca="false">IF(ISERROR(VLOOKUP($A32,'liste reference'!$A$6:$B$1174,2,0)),IF(ISERROR(VLOOKUP($A32,'liste reference'!$B$6:$B$1174,1,0)),"",VLOOKUP($A32,'liste reference'!$B$6:$B$1174,1,0)),VLOOKUP($A32,'liste reference'!$A$6:$B$1174,2,0))</f>
        <v>Equisetum sp.</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PTE</v>
      </c>
      <c r="H32" s="496" t="n">
        <f aca="false">IF(A32="","x",IF(ISERROR(VLOOKUP($A32,'liste reference'!$A$6:$Q$1174,10,0)),IF(ISERROR(VLOOKUP($A32,'liste reference'!$B$6:$Q$1174,9,0)),"x",VLOOKUP($A32,'liste reference'!$B$6:$Q$1174,9,0)),VLOOKUP($A32,'liste reference'!$A$6:$Q$1174,10,0)))</f>
        <v>6</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1383</v>
      </c>
      <c r="R32" s="484" t="n">
        <f aca="false">IF(ISTEXT(H32),"",(B32*$B$7/100)+(C32*$C$7/100))</f>
        <v>0.005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EQUSPX</v>
      </c>
      <c r="Z32" s="470" t="n">
        <f aca="false">IF(ISERROR(MATCH(A32,'liste reference'!$A$6:$A$1174,0)),IF(ISERROR(MATCH(A32,'liste reference'!$B$6:$B$1174,0)),"",(MATCH(A32,'liste reference'!$B$6:$B$1174,0))),(MATCH(A32,'liste reference'!$A$6:$A$1174,0)))</f>
        <v>391</v>
      </c>
    </row>
    <row r="33" customFormat="false" ht="12.75" hidden="false" customHeight="false" outlineLevel="0" collapsed="false">
      <c r="A33" s="489" t="s">
        <v>1414</v>
      </c>
      <c r="B33" s="490"/>
      <c r="C33" s="491" t="n">
        <v>0.005</v>
      </c>
      <c r="D33" s="492" t="str">
        <f aca="false">IF(ISERROR(VLOOKUP($A33,'liste reference'!$A$6:$B$1174,2,0)),IF(ISERROR(VLOOKUP($A33,'liste reference'!$B$6:$B$1174,1,0)),"",VLOOKUP($A33,'liste reference'!$B$6:$B$1174,1,0)),VLOOKUP($A33,'liste reference'!$A$6:$B$1174,2,0))</f>
        <v>Callitriche sp.</v>
      </c>
      <c r="E33" s="493" t="e">
        <f aca="false">IF(D33="",0,VLOOKUP(D33,D$22:D32,1,0))</f>
        <v>#N/A</v>
      </c>
      <c r="F33" s="494" t="n">
        <f aca="false">IF(AND(OR(A33="",A33="!!!!!!"),B33="",C33=""),"",IF(OR(AND(B33="",C33=""),ISERROR(C33+B33)),"!!!",($B33*$B$7+$C33*$C$7)/100))</f>
        <v>0.004645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Callitriche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1696</v>
      </c>
      <c r="R33" s="484" t="n">
        <f aca="false">IF(ISTEXT(H33),"",(B33*$B$7/100)+(C33*$C$7/100))</f>
        <v>0.004645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CALSPX</v>
      </c>
      <c r="Z33" s="470" t="n">
        <f aca="false">IF(ISERROR(MATCH(A33,'liste reference'!$A$6:$A$1174,0)),IF(ISERROR(MATCH(A33,'liste reference'!$B$6:$B$1174,0)),"",(MATCH(A33,'liste reference'!$B$6:$B$1174,0))),(MATCH(A33,'liste reference'!$A$6:$A$1174,0)))</f>
        <v>441</v>
      </c>
    </row>
    <row r="34" customFormat="false" ht="12.75" hidden="false" customHeight="false" outlineLevel="0" collapsed="false">
      <c r="A34" s="489" t="s">
        <v>1425</v>
      </c>
      <c r="B34" s="490" t="n">
        <v>0.005</v>
      </c>
      <c r="C34" s="491" t="n">
        <v>0.005</v>
      </c>
      <c r="D34" s="492" t="str">
        <f aca="false">IF(ISERROR(VLOOKUP($A34,'liste reference'!$A$6:$B$1174,2,0)),IF(ISERROR(VLOOKUP($A34,'liste reference'!$B$6:$B$1174,1,0)),"",VLOOKUP($A34,'liste reference'!$B$6:$B$1174,1,0)),VLOOKUP($A34,'liste reference'!$A$6:$B$1174,2,0))</f>
        <v>Ceratophyllum demersum</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Ceratophyllum demersum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1717</v>
      </c>
      <c r="R34" s="484" t="n">
        <f aca="false">IF(ISTEXT(H34),"",(B34*$B$7/100)+(C34*$C$7/100))</f>
        <v>0.005</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CERDEM</v>
      </c>
      <c r="Z34" s="470" t="n">
        <f aca="false">IF(ISERROR(MATCH(A34,'liste reference'!$A$6:$A$1174,0)),IF(ISERROR(MATCH(A34,'liste reference'!$B$6:$B$1174,0)),"",(MATCH(A34,'liste reference'!$B$6:$B$1174,0))),(MATCH(A34,'liste reference'!$A$6:$A$1174,0)))</f>
        <v>445</v>
      </c>
    </row>
    <row r="35" customFormat="false" ht="12.75" hidden="false" customHeight="false" outlineLevel="0" collapsed="false">
      <c r="A35" s="489" t="s">
        <v>1456</v>
      </c>
      <c r="B35" s="490"/>
      <c r="C35" s="491" t="n">
        <v>0.2</v>
      </c>
      <c r="D35" s="492" t="str">
        <f aca="false">IF(ISERROR(VLOOKUP($A35,'liste reference'!$A$6:$B$1174,2,0)),IF(ISERROR(VLOOKUP($A35,'liste reference'!$B$6:$B$1174,1,0)),"",VLOOKUP($A35,'liste reference'!$B$6:$B$1174,1,0)),VLOOKUP($A35,'liste reference'!$A$6:$B$1174,2,0))</f>
        <v>Elodea canadensis</v>
      </c>
      <c r="E35" s="493" t="e">
        <f aca="false">IF(D35="",0,VLOOKUP(D35,D$22:D34,1,0))</f>
        <v>#N/A</v>
      </c>
      <c r="F35" s="494" t="n">
        <f aca="false">IF(AND(OR(A35="",A35="!!!!!!"),B35="",C35=""),"",IF(OR(AND(B35="",C35=""),ISERROR(C35+B35)),"!!!",($B35*$B$7+$C35*$C$7)/100))</f>
        <v>0.1858</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Elodea canadensis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1586</v>
      </c>
      <c r="R35" s="484" t="n">
        <f aca="false">IF(ISTEXT(H35),"",(B35*$B$7/100)+(C35*$C$7/100))</f>
        <v>0.1858</v>
      </c>
      <c r="S35" s="485" t="n">
        <f aca="false">IF(OR(ISTEXT(H35),R35=0),"",IF(R35&lt;0.1,1,IF(R35&lt;1,2,IF(R35&lt;10,3,IF(R35&lt;50,4,IF(R35&gt;=50,5,""))))))</f>
        <v>2</v>
      </c>
      <c r="T35" s="485" t="n">
        <f aca="false">IF(ISERROR(S35*J35),0,S35*J35)</f>
        <v>20</v>
      </c>
      <c r="U35" s="485" t="n">
        <f aca="false">IF(ISERROR(S35*J35*K35),0,S35*J35*K35)</f>
        <v>40</v>
      </c>
      <c r="V35" s="501" t="n">
        <f aca="false">IF(ISERROR(S35*K35),0,S35*K35)</f>
        <v>4</v>
      </c>
      <c r="W35" s="502"/>
      <c r="X35" s="503"/>
      <c r="Y35" s="488" t="str">
        <f aca="false">IF(AND(ISNUMBER(F35),OR(A35="",A35="!!!!!!")),"!!!!!!",IF(A35="new.cod","NEWCOD",IF(AND((Z35=""),ISTEXT(A35),A35&lt;&gt;"!!!!!!"),A35,IF(Z35="","",INDEX('liste reference'!$A$6:$A$1174,Z35)))))</f>
        <v>ELOCAN</v>
      </c>
      <c r="Z35" s="470" t="n">
        <f aca="false">IF(ISERROR(MATCH(A35,'liste reference'!$A$6:$A$1174,0)),IF(ISERROR(MATCH(A35,'liste reference'!$B$6:$B$1174,0)),"",(MATCH(A35,'liste reference'!$B$6:$B$1174,0))),(MATCH(A35,'liste reference'!$A$6:$A$1174,0)))</f>
        <v>453</v>
      </c>
    </row>
    <row r="36" customFormat="false" ht="12.75" hidden="false" customHeight="false" outlineLevel="0" collapsed="false">
      <c r="A36" s="489" t="s">
        <v>1522</v>
      </c>
      <c r="B36" s="490" t="n">
        <v>0.005</v>
      </c>
      <c r="C36" s="491" t="n">
        <v>0.005</v>
      </c>
      <c r="D36" s="492" t="str">
        <f aca="false">IF(ISERROR(VLOOKUP($A36,'liste reference'!$A$6:$B$1174,2,0)),IF(ISERROR(VLOOKUP($A36,'liste reference'!$B$6:$B$1174,1,0)),"",VLOOKUP($A36,'liste reference'!$B$6:$B$1174,1,0)),VLOOKUP($A36,'liste reference'!$A$6:$B$1174,2,0))</f>
        <v>Lemna minor</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Lemna minor</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1626</v>
      </c>
      <c r="R36" s="484" t="n">
        <f aca="false">IF(ISTEXT(H36),"",(B36*$B$7/100)+(C36*$C$7/100))</f>
        <v>0.005</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LEMMIN</v>
      </c>
      <c r="Z36" s="470" t="n">
        <f aca="false">IF(ISERROR(MATCH(A36,'liste reference'!$A$6:$A$1174,0)),IF(ISERROR(MATCH(A36,'liste reference'!$B$6:$B$1174,0)),"",(MATCH(A36,'liste reference'!$B$6:$B$1174,0))),(MATCH(A36,'liste reference'!$A$6:$A$1174,0)))</f>
        <v>473</v>
      </c>
    </row>
    <row r="37" customFormat="false" ht="12.75" hidden="false" customHeight="false" outlineLevel="0" collapsed="false">
      <c r="A37" s="489" t="s">
        <v>1524</v>
      </c>
      <c r="B37" s="490" t="n">
        <v>0.5</v>
      </c>
      <c r="C37" s="491" t="n">
        <v>2</v>
      </c>
      <c r="D37" s="492" t="str">
        <f aca="false">IF(ISERROR(VLOOKUP($A37,'liste reference'!$A$6:$B$1174,2,0)),IF(ISERROR(VLOOKUP($A37,'liste reference'!$B$6:$B$1174,1,0)),"",VLOOKUP($A37,'liste reference'!$B$6:$B$1174,1,0)),VLOOKUP($A37,'liste reference'!$A$6:$B$1174,2,0))</f>
        <v>Lemna minuta</v>
      </c>
      <c r="E37" s="493" t="e">
        <f aca="false">IF(D37="",0,VLOOKUP(D37,D$22:D36,1,0))</f>
        <v>#N/A</v>
      </c>
      <c r="F37" s="494" t="n">
        <f aca="false">IF(AND(OR(A37="",A37="!!!!!!"),B37="",C37=""),"",IF(OR(AND(B37="",C37=""),ISERROR(C37+B37)),"!!!",($B37*$B$7+$C37*$C$7)/100))</f>
        <v>1.8935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Lemna minuta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29962</v>
      </c>
      <c r="R37" s="484" t="n">
        <f aca="false">IF(ISTEXT(H37),"",(B37*$B$7/100)+(C37*$C$7/100))</f>
        <v>1.8935</v>
      </c>
      <c r="S37" s="485" t="n">
        <f aca="false">IF(OR(ISTEXT(H37),R37=0),"",IF(R37&lt;0.1,1,IF(R37&lt;1,2,IF(R37&lt;10,3,IF(R37&lt;50,4,IF(R37&gt;=50,5,""))))))</f>
        <v>3</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LEMMIT</v>
      </c>
      <c r="Z37" s="470" t="n">
        <f aca="false">IF(ISERROR(MATCH(A37,'liste reference'!$A$6:$A$1174,0)),IF(ISERROR(MATCH(A37,'liste reference'!$B$6:$B$1174,0)),"",(MATCH(A37,'liste reference'!$B$6:$B$1174,0))),(MATCH(A37,'liste reference'!$A$6:$A$1174,0)))</f>
        <v>474</v>
      </c>
    </row>
    <row r="38" customFormat="false" ht="12.75" hidden="false" customHeight="false" outlineLevel="0" collapsed="false">
      <c r="A38" s="489" t="s">
        <v>1530</v>
      </c>
      <c r="B38" s="490" t="n">
        <v>0.005</v>
      </c>
      <c r="C38" s="491" t="n">
        <v>0.005</v>
      </c>
      <c r="D38" s="492" t="str">
        <f aca="false">IF(ISERROR(VLOOKUP($A38,'liste reference'!$A$6:$B$1174,2,0)),IF(ISERROR(VLOOKUP($A38,'liste reference'!$B$6:$B$1174,1,0)),"",VLOOKUP($A38,'liste reference'!$B$6:$B$1174,1,0)),VLOOKUP($A38,'liste reference'!$A$6:$B$1174,2,0))</f>
        <v>Lemna trisulca</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trisulca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1628</v>
      </c>
      <c r="R38" s="484" t="n">
        <f aca="false">IF(ISTEXT(H38),"",(B38*$B$7/100)+(C38*$C$7/100))</f>
        <v>0.005</v>
      </c>
      <c r="S38" s="485" t="n">
        <f aca="false">IF(OR(ISTEXT(H38),R38=0),"",IF(R38&lt;0.1,1,IF(R38&lt;1,2,IF(R38&lt;10,3,IF(R38&lt;50,4,IF(R38&gt;=50,5,""))))))</f>
        <v>1</v>
      </c>
      <c r="T38" s="485" t="n">
        <f aca="false">IF(ISERROR(S38*J38),0,S38*J38)</f>
        <v>12</v>
      </c>
      <c r="U38" s="485" t="n">
        <f aca="false">IF(ISERROR(S38*J38*K38),0,S38*J38*K38)</f>
        <v>24</v>
      </c>
      <c r="V38" s="501" t="n">
        <f aca="false">IF(ISERROR(S38*K38),0,S38*K38)</f>
        <v>2</v>
      </c>
      <c r="W38" s="502"/>
      <c r="X38" s="503"/>
      <c r="Y38" s="488" t="str">
        <f aca="false">IF(AND(ISNUMBER(F38),OR(A38="",A38="!!!!!!")),"!!!!!!",IF(A38="new.cod","NEWCOD",IF(AND((Z38=""),ISTEXT(A38),A38&lt;&gt;"!!!!!!"),A38,IF(Z38="","",INDEX('liste reference'!$A$6:$A$1174,Z38)))))</f>
        <v>LEMTRI</v>
      </c>
      <c r="Z38" s="470" t="n">
        <f aca="false">IF(ISERROR(MATCH(A38,'liste reference'!$A$6:$A$1174,0)),IF(ISERROR(MATCH(A38,'liste reference'!$B$6:$B$1174,0)),"",(MATCH(A38,'liste reference'!$B$6:$B$1174,0))),(MATCH(A38,'liste reference'!$A$6:$A$1174,0)))</f>
        <v>476</v>
      </c>
    </row>
    <row r="39" customFormat="false" ht="12.75" hidden="false" customHeight="false" outlineLevel="0" collapsed="false">
      <c r="A39" s="489" t="s">
        <v>1557</v>
      </c>
      <c r="B39" s="490" t="n">
        <v>2</v>
      </c>
      <c r="C39" s="491" t="n">
        <v>25</v>
      </c>
      <c r="D39" s="492" t="str">
        <f aca="false">IF(ISERROR(VLOOKUP($A39,'liste reference'!$A$6:$B$1174,2,0)),IF(ISERROR(VLOOKUP($A39,'liste reference'!$B$6:$B$1174,1,0)),"",VLOOKUP($A39,'liste reference'!$B$6:$B$1174,1,0)),VLOOKUP($A39,'liste reference'!$A$6:$B$1174,2,0))</f>
        <v>Myriophyllum spicatum</v>
      </c>
      <c r="E39" s="493" t="e">
        <f aca="false">IF(D39="",0,VLOOKUP(D39,D$22:D38,1,0))</f>
        <v>#N/A</v>
      </c>
      <c r="F39" s="494" t="n">
        <f aca="false">IF(AND(OR(A39="",A39="!!!!!!"),B39="",C39=""),"",IF(OR(AND(B39="",C39=""),ISERROR(C39+B39)),"!!!",($B39*$B$7+$C39*$C$7)/100))</f>
        <v>23.367</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Myriophyllum spicatum</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1778</v>
      </c>
      <c r="R39" s="484" t="n">
        <f aca="false">IF(ISTEXT(H39),"",(B39*$B$7/100)+(C39*$C$7/100))</f>
        <v>23.367</v>
      </c>
      <c r="S39" s="485" t="n">
        <f aca="false">IF(OR(ISTEXT(H39),R39=0),"",IF(R39&lt;0.1,1,IF(R39&lt;1,2,IF(R39&lt;10,3,IF(R39&lt;50,4,IF(R39&gt;=50,5,""))))))</f>
        <v>4</v>
      </c>
      <c r="T39" s="485" t="n">
        <f aca="false">IF(ISERROR(S39*J39),0,S39*J39)</f>
        <v>32</v>
      </c>
      <c r="U39" s="485" t="n">
        <f aca="false">IF(ISERROR(S39*J39*K39),0,S39*J39*K39)</f>
        <v>64</v>
      </c>
      <c r="V39" s="501" t="n">
        <f aca="false">IF(ISERROR(S39*K39),0,S39*K39)</f>
        <v>8</v>
      </c>
      <c r="W39" s="502"/>
      <c r="X39" s="503"/>
      <c r="Y39" s="488" t="str">
        <f aca="false">IF(AND(ISNUMBER(F39),OR(A39="",A39="!!!!!!")),"!!!!!!",IF(A39="new.cod","NEWCOD",IF(AND((Z39=""),ISTEXT(A39),A39&lt;&gt;"!!!!!!"),A39,IF(Z39="","",INDEX('liste reference'!$A$6:$A$1174,Z39)))))</f>
        <v>MYRSPI</v>
      </c>
      <c r="Z39" s="470" t="n">
        <f aca="false">IF(ISERROR(MATCH(A39,'liste reference'!$A$6:$A$1174,0)),IF(ISERROR(MATCH(A39,'liste reference'!$B$6:$B$1174,0)),"",(MATCH(A39,'liste reference'!$B$6:$B$1174,0))),(MATCH(A39,'liste reference'!$A$6:$A$1174,0)))</f>
        <v>486</v>
      </c>
    </row>
    <row r="40" customFormat="false" ht="12.75" hidden="false" customHeight="false" outlineLevel="0" collapsed="false">
      <c r="A40" s="489" t="s">
        <v>1657</v>
      </c>
      <c r="B40" s="490" t="n">
        <v>0.005</v>
      </c>
      <c r="C40" s="491" t="n">
        <v>0.005</v>
      </c>
      <c r="D40" s="492" t="str">
        <f aca="false">IF(ISERROR(VLOOKUP($A40,'liste reference'!$A$6:$B$1174,2,0)),IF(ISERROR(VLOOKUP($A40,'liste reference'!$B$6:$B$1174,1,0)),"",VLOOKUP($A40,'liste reference'!$B$6:$B$1174,1,0)),VLOOKUP($A40,'liste reference'!$A$6:$B$1174,2,0))</f>
        <v>Potamogeton crispus</v>
      </c>
      <c r="E40" s="493" t="e">
        <f aca="false">IF(D40="",0,VLOOKUP(D40,D$22:D39,1,0))</f>
        <v>#N/A</v>
      </c>
      <c r="F40" s="494" t="n">
        <f aca="false">IF(AND(OR(A40="",A40="!!!!!!"),B40="",C40=""),"",IF(OR(AND(B40="",C40=""),ISERROR(C40+B40)),"!!!",($B40*$B$7+$C40*$C$7)/100))</f>
        <v>0.005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7</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crispus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1645</v>
      </c>
      <c r="R40" s="484" t="n">
        <f aca="false">IF(ISTEXT(H40),"",(B40*$B$7/100)+(C40*$C$7/100))</f>
        <v>0.005</v>
      </c>
      <c r="S40" s="485" t="n">
        <f aca="false">IF(OR(ISTEXT(H40),R40=0),"",IF(R40&lt;0.1,1,IF(R40&lt;1,2,IF(R40&lt;10,3,IF(R40&lt;50,4,IF(R40&gt;=50,5,""))))))</f>
        <v>1</v>
      </c>
      <c r="T40" s="485" t="n">
        <f aca="false">IF(ISERROR(S40*J40),0,S40*J40)</f>
        <v>7</v>
      </c>
      <c r="U40" s="485" t="n">
        <f aca="false">IF(ISERROR(S40*J40*K40),0,S40*J40*K40)</f>
        <v>14</v>
      </c>
      <c r="V40" s="501" t="n">
        <f aca="false">IF(ISERROR(S40*K40),0,S40*K40)</f>
        <v>2</v>
      </c>
      <c r="W40" s="502"/>
      <c r="X40" s="503"/>
      <c r="Y40" s="488" t="str">
        <f aca="false">IF(AND(ISNUMBER(F40),OR(A40="",A40="!!!!!!")),"!!!!!!",IF(A40="new.cod","NEWCOD",IF(AND((Z40=""),ISTEXT(A40),A40&lt;&gt;"!!!!!!"),A40,IF(Z40="","",INDEX('liste reference'!$A$6:$A$1174,Z40)))))</f>
        <v>POTCRI</v>
      </c>
      <c r="Z40" s="470" t="n">
        <f aca="false">IF(ISERROR(MATCH(A40,'liste reference'!$A$6:$A$1174,0)),IF(ISERROR(MATCH(A40,'liste reference'!$B$6:$B$1174,0)),"",(MATCH(A40,'liste reference'!$B$6:$B$1174,0))),(MATCH(A40,'liste reference'!$A$6:$A$1174,0)))</f>
        <v>522</v>
      </c>
    </row>
    <row r="41" customFormat="false" ht="12.75" hidden="false" customHeight="false" outlineLevel="0" collapsed="false">
      <c r="A41" s="489" t="s">
        <v>1681</v>
      </c>
      <c r="B41" s="490" t="n">
        <v>2</v>
      </c>
      <c r="C41" s="491" t="n">
        <v>10</v>
      </c>
      <c r="D41" s="492" t="str">
        <f aca="false">IF(ISERROR(VLOOKUP($A41,'liste reference'!$A$6:$B$1174,2,0)),IF(ISERROR(VLOOKUP($A41,'liste reference'!$B$6:$B$1174,1,0)),"",VLOOKUP($A41,'liste reference'!$B$6:$B$1174,1,0)),VLOOKUP($A41,'liste reference'!$A$6:$B$1174,2,0))</f>
        <v>Potamogeton nodosus</v>
      </c>
      <c r="E41" s="493" t="e">
        <f aca="false">IF(D41="",0,VLOOKUP(D41,D$22:D40,1,0))</f>
        <v>#N/A</v>
      </c>
      <c r="F41" s="494" t="n">
        <f aca="false">IF(AND(OR(A41="",A41="!!!!!!"),B41="",C41=""),"",IF(OR(AND(B41="",C41=""),ISERROR(C41+B41)),"!!!",($B41*$B$7+$C41*$C$7)/100))</f>
        <v>9.432</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4</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nodosus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1652</v>
      </c>
      <c r="R41" s="484" t="n">
        <f aca="false">IF(ISTEXT(H41),"",(B41*$B$7/100)+(C41*$C$7/100))</f>
        <v>9.432</v>
      </c>
      <c r="S41" s="485" t="n">
        <f aca="false">IF(OR(ISTEXT(H41),R41=0),"",IF(R41&lt;0.1,1,IF(R41&lt;1,2,IF(R41&lt;10,3,IF(R41&lt;50,4,IF(R41&gt;=50,5,""))))))</f>
        <v>3</v>
      </c>
      <c r="T41" s="485" t="n">
        <f aca="false">IF(ISERROR(S41*J41),0,S41*J41)</f>
        <v>12</v>
      </c>
      <c r="U41" s="485" t="n">
        <f aca="false">IF(ISERROR(S41*J41*K41),0,S41*J41*K41)</f>
        <v>36</v>
      </c>
      <c r="V41" s="501" t="n">
        <f aca="false">IF(ISERROR(S41*K41),0,S41*K41)</f>
        <v>9</v>
      </c>
      <c r="W41" s="502"/>
      <c r="X41" s="503"/>
      <c r="Y41" s="488" t="str">
        <f aca="false">IF(AND(ISNUMBER(F41),OR(A41="",A41="!!!!!!")),"!!!!!!",IF(A41="new.cod","NEWCOD",IF(AND((Z41=""),ISTEXT(A41),A41&lt;&gt;"!!!!!!"),A41,IF(Z41="","",INDEX('liste reference'!$A$6:$A$1174,Z41)))))</f>
        <v>POTNOD</v>
      </c>
      <c r="Z41" s="470" t="n">
        <f aca="false">IF(ISERROR(MATCH(A41,'liste reference'!$A$6:$A$1174,0)),IF(ISERROR(MATCH(A41,'liste reference'!$B$6:$B$1174,0)),"",(MATCH(A41,'liste reference'!$B$6:$B$1174,0))),(MATCH(A41,'liste reference'!$A$6:$A$1174,0)))</f>
        <v>530</v>
      </c>
    </row>
    <row r="42" customFormat="false" ht="12.75" hidden="false" customHeight="false" outlineLevel="0" collapsed="false">
      <c r="A42" s="489" t="s">
        <v>1689</v>
      </c>
      <c r="B42" s="490" t="n">
        <v>1</v>
      </c>
      <c r="C42" s="491" t="n">
        <v>40</v>
      </c>
      <c r="D42" s="492" t="str">
        <f aca="false">IF(ISERROR(VLOOKUP($A42,'liste reference'!$A$6:$B$1174,2,0)),IF(ISERROR(VLOOKUP($A42,'liste reference'!$B$6:$B$1174,1,0)),"",VLOOKUP($A42,'liste reference'!$B$6:$B$1174,1,0)),VLOOKUP($A42,'liste reference'!$A$6:$B$1174,2,0))</f>
        <v>Potamogeton pectinatus</v>
      </c>
      <c r="E42" s="493" t="e">
        <f aca="false">IF(D42="",0,VLOOKUP(D42,D$22:D41,1,0))</f>
        <v>#N/A</v>
      </c>
      <c r="F42" s="494" t="n">
        <f aca="false">IF(AND(OR(A42="",A42="!!!!!!"),B42="",C42=""),"",IF(OR(AND(B42="",C42=""),ISERROR(C42+B42)),"!!!",($B42*$B$7+$C42*$C$7)/100))</f>
        <v>37.231</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2</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pectinatus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1655</v>
      </c>
      <c r="R42" s="484" t="n">
        <f aca="false">IF(ISTEXT(H42),"",(B42*$B$7/100)+(C42*$C$7/100))</f>
        <v>37.231</v>
      </c>
      <c r="S42" s="485" t="n">
        <f aca="false">IF(OR(ISTEXT(H42),R42=0),"",IF(R42&lt;0.1,1,IF(R42&lt;1,2,IF(R42&lt;10,3,IF(R42&lt;50,4,IF(R42&gt;=50,5,""))))))</f>
        <v>4</v>
      </c>
      <c r="T42" s="485" t="n">
        <f aca="false">IF(ISERROR(S42*J42),0,S42*J42)</f>
        <v>8</v>
      </c>
      <c r="U42" s="485" t="n">
        <f aca="false">IF(ISERROR(S42*J42*K42),0,S42*J42*K42)</f>
        <v>16</v>
      </c>
      <c r="V42" s="501" t="n">
        <f aca="false">IF(ISERROR(S42*K42),0,S42*K42)</f>
        <v>8</v>
      </c>
      <c r="W42" s="502"/>
      <c r="X42" s="503"/>
      <c r="Y42" s="488" t="str">
        <f aca="false">IF(AND(ISNUMBER(F42),OR(A42="",A42="!!!!!!")),"!!!!!!",IF(A42="new.cod","NEWCOD",IF(AND((Z42=""),ISTEXT(A42),A42&lt;&gt;"!!!!!!"),A42,IF(Z42="","",INDEX('liste reference'!$A$6:$A$1174,Z42)))))</f>
        <v>POTPEC</v>
      </c>
      <c r="Z42" s="470" t="n">
        <f aca="false">IF(ISERROR(MATCH(A42,'liste reference'!$A$6:$A$1174,0)),IF(ISERROR(MATCH(A42,'liste reference'!$B$6:$B$1174,0)),"",(MATCH(A42,'liste reference'!$B$6:$B$1174,0))),(MATCH(A42,'liste reference'!$A$6:$A$1174,0)))</f>
        <v>532</v>
      </c>
    </row>
    <row r="43" customFormat="false" ht="12.75" hidden="false" customHeight="false" outlineLevel="0" collapsed="false">
      <c r="A43" s="489" t="s">
        <v>1784</v>
      </c>
      <c r="B43" s="490"/>
      <c r="C43" s="491" t="n">
        <v>0.03</v>
      </c>
      <c r="D43" s="492" t="str">
        <f aca="false">IF(ISERROR(VLOOKUP($A43,'liste reference'!$A$6:$B$1174,2,0)),IF(ISERROR(VLOOKUP($A43,'liste reference'!$B$6:$B$1174,1,0)),"",VLOOKUP($A43,'liste reference'!$B$6:$B$1174,1,0)),VLOOKUP($A43,'liste reference'!$A$6:$B$1174,2,0))</f>
        <v>Ranunculus fluitans</v>
      </c>
      <c r="E43" s="493" t="e">
        <f aca="false">IF(D43="",0,VLOOKUP(D43,D$22:D42,1,0))</f>
        <v>#N/A</v>
      </c>
      <c r="F43" s="494" t="n">
        <f aca="false">IF(AND(OR(A43="",A43="!!!!!!"),B43="",C43=""),"",IF(OR(AND(B43="",C43=""),ISERROR(C43+B43)),"!!!",($B43*$B$7+$C43*$C$7)/100))</f>
        <v>0.02787</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Ranunculus fluitans</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1903</v>
      </c>
      <c r="R43" s="484" t="n">
        <f aca="false">IF(ISTEXT(H43),"",(B43*$B$7/100)+(C43*$C$7/100))</f>
        <v>0.02787</v>
      </c>
      <c r="S43" s="485" t="n">
        <f aca="false">IF(OR(ISTEXT(H43),R43=0),"",IF(R43&lt;0.1,1,IF(R43&lt;1,2,IF(R43&lt;10,3,IF(R43&lt;50,4,IF(R43&gt;=50,5,""))))))</f>
        <v>1</v>
      </c>
      <c r="T43" s="485" t="n">
        <f aca="false">IF(ISERROR(S43*J43),0,S43*J43)</f>
        <v>10</v>
      </c>
      <c r="U43" s="485" t="n">
        <f aca="false">IF(ISERROR(S43*J43*K43),0,S43*J43*K43)</f>
        <v>20</v>
      </c>
      <c r="V43" s="501" t="n">
        <f aca="false">IF(ISERROR(S43*K43),0,S43*K43)</f>
        <v>2</v>
      </c>
      <c r="W43" s="502"/>
      <c r="X43" s="503"/>
      <c r="Y43" s="488" t="str">
        <f aca="false">IF(AND(ISNUMBER(F43),OR(A43="",A43="!!!!!!")),"!!!!!!",IF(A43="new.cod","NEWCOD",IF(AND((Z43=""),ISTEXT(A43),A43&lt;&gt;"!!!!!!"),A43,IF(Z43="","",INDEX('liste reference'!$A$6:$A$1174,Z43)))))</f>
        <v>RANFLU</v>
      </c>
      <c r="Z43" s="470" t="n">
        <f aca="false">IF(ISERROR(MATCH(A43,'liste reference'!$A$6:$A$1174,0)),IF(ISERROR(MATCH(A43,'liste reference'!$B$6:$B$1174,0)),"",(MATCH(A43,'liste reference'!$B$6:$B$1174,0))),(MATCH(A43,'liste reference'!$A$6:$A$1174,0)))</f>
        <v>566</v>
      </c>
    </row>
    <row r="44" customFormat="false" ht="12.75" hidden="false" customHeight="false" outlineLevel="0" collapsed="false">
      <c r="A44" s="489" t="s">
        <v>1841</v>
      </c>
      <c r="B44" s="490"/>
      <c r="C44" s="491" t="n">
        <v>0.08</v>
      </c>
      <c r="D44" s="492" t="str">
        <f aca="false">IF(ISERROR(VLOOKUP($A44,'liste reference'!$A$6:$B$1174,2,0)),IF(ISERROR(VLOOKUP($A44,'liste reference'!$B$6:$B$1174,1,0)),"",VLOOKUP($A44,'liste reference'!$B$6:$B$1174,1,0)),VLOOKUP($A44,'liste reference'!$A$6:$B$1174,2,0))</f>
        <v>Sagittaria sagittifolia</v>
      </c>
      <c r="E44" s="493" t="e">
        <f aca="false">IF(D44="",0,VLOOKUP(D44,D$22:D43,1,0))</f>
        <v>#N/A</v>
      </c>
      <c r="F44" s="494" t="n">
        <f aca="false">IF(AND(OR(A44="",A44="!!!!!!"),B44="",C44=""),"",IF(OR(AND(B44="",C44=""),ISERROR(C44+B44)),"!!!",($B44*$B$7+$C44*$C$7)/100))</f>
        <v>0.07432</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6</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Sagittaria sagittifolia</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1453</v>
      </c>
      <c r="R44" s="484" t="n">
        <f aca="false">IF(ISTEXT(H44),"",(B44*$B$7/100)+(C44*$C$7/100))</f>
        <v>0.07432</v>
      </c>
      <c r="S44" s="485" t="n">
        <f aca="false">IF(OR(ISTEXT(H44),R44=0),"",IF(R44&lt;0.1,1,IF(R44&lt;1,2,IF(R44&lt;10,3,IF(R44&lt;50,4,IF(R44&gt;=50,5,""))))))</f>
        <v>1</v>
      </c>
      <c r="T44" s="485" t="n">
        <f aca="false">IF(ISERROR(S44*J44),0,S44*J44)</f>
        <v>6</v>
      </c>
      <c r="U44" s="485" t="n">
        <f aca="false">IF(ISERROR(S44*J44*K44),0,S44*J44*K44)</f>
        <v>12</v>
      </c>
      <c r="V44" s="501" t="n">
        <f aca="false">IF(ISERROR(S44*K44),0,S44*K44)</f>
        <v>2</v>
      </c>
      <c r="W44" s="502"/>
      <c r="X44" s="503"/>
      <c r="Y44" s="488" t="str">
        <f aca="false">IF(AND(ISNUMBER(F44),OR(A44="",A44="!!!!!!")),"!!!!!!",IF(A44="new.cod","NEWCOD",IF(AND((Z44=""),ISTEXT(A44),A44&lt;&gt;"!!!!!!"),A44,IF(Z44="","",INDEX('liste reference'!$A$6:$A$1174,Z44)))))</f>
        <v>SAGSAG</v>
      </c>
      <c r="Z44" s="470" t="n">
        <f aca="false">IF(ISERROR(MATCH(A44,'liste reference'!$A$6:$A$1174,0)),IF(ISERROR(MATCH(A44,'liste reference'!$B$6:$B$1174,0)),"",(MATCH(A44,'liste reference'!$B$6:$B$1174,0))),(MATCH(A44,'liste reference'!$A$6:$A$1174,0)))</f>
        <v>587</v>
      </c>
    </row>
    <row r="45" customFormat="false" ht="12.75" hidden="false" customHeight="false" outlineLevel="0" collapsed="false">
      <c r="A45" s="489" t="s">
        <v>1918</v>
      </c>
      <c r="B45" s="490"/>
      <c r="C45" s="491" t="n">
        <v>0.04</v>
      </c>
      <c r="D45" s="492" t="str">
        <f aca="false">IF(ISERROR(VLOOKUP($A45,'liste reference'!$A$6:$B$1174,2,0)),IF(ISERROR(VLOOKUP($A45,'liste reference'!$B$6:$B$1174,1,0)),"",VLOOKUP($A45,'liste reference'!$B$6:$B$1174,1,0)),VLOOKUP($A45,'liste reference'!$A$6:$B$1174,2,0))</f>
        <v>Zannichellia palustris</v>
      </c>
      <c r="E45" s="493" t="e">
        <f aca="false">IF(D45="",0,VLOOKUP(D45,D$22:D44,1,0))</f>
        <v>#N/A</v>
      </c>
      <c r="F45" s="494" t="n">
        <f aca="false">IF(AND(OR(A45="",A45="!!!!!!"),B45="",C45=""),"",IF(OR(AND(B45="",C45=""),ISERROR(C45+B45)),"!!!",($B45*$B$7+$C45*$C$7)/100))</f>
        <v>0.03716</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5</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Zannichellia palustris</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1681</v>
      </c>
      <c r="R45" s="484" t="n">
        <f aca="false">IF(ISTEXT(H45),"",(B45*$B$7/100)+(C45*$C$7/100))</f>
        <v>0.03716</v>
      </c>
      <c r="S45" s="485" t="n">
        <f aca="false">IF(OR(ISTEXT(H45),R45=0),"",IF(R45&lt;0.1,1,IF(R45&lt;1,2,IF(R45&lt;10,3,IF(R45&lt;50,4,IF(R45&gt;=50,5,""))))))</f>
        <v>1</v>
      </c>
      <c r="T45" s="485" t="n">
        <f aca="false">IF(ISERROR(S45*J45),0,S45*J45)</f>
        <v>5</v>
      </c>
      <c r="U45" s="485" t="n">
        <f aca="false">IF(ISERROR(S45*J45*K45),0,S45*J45*K45)</f>
        <v>5</v>
      </c>
      <c r="V45" s="501" t="n">
        <f aca="false">IF(ISERROR(S45*K45),0,S45*K45)</f>
        <v>1</v>
      </c>
      <c r="W45" s="502"/>
      <c r="X45" s="503"/>
      <c r="Y45" s="488" t="str">
        <f aca="false">IF(AND(ISNUMBER(F45),OR(A45="",A45="!!!!!!")),"!!!!!!",IF(A45="new.cod","NEWCOD",IF(AND((Z45=""),ISTEXT(A45),A45&lt;&gt;"!!!!!!"),A45,IF(Z45="","",INDEX('liste reference'!$A$6:$A$1174,Z45)))))</f>
        <v>ZANPAL</v>
      </c>
      <c r="Z45" s="470" t="n">
        <f aca="false">IF(ISERROR(MATCH(A45,'liste reference'!$A$6:$A$1174,0)),IF(ISERROR(MATCH(A45,'liste reference'!$B$6:$B$1174,0)),"",(MATCH(A45,'liste reference'!$B$6:$B$1174,0))),(MATCH(A45,'liste reference'!$A$6:$A$1174,0)))</f>
        <v>617</v>
      </c>
    </row>
    <row r="46" customFormat="false" ht="12.75" hidden="false" customHeight="false" outlineLevel="0" collapsed="false">
      <c r="A46" s="489" t="s">
        <v>2105</v>
      </c>
      <c r="B46" s="490" t="n">
        <v>0.005</v>
      </c>
      <c r="C46" s="491"/>
      <c r="D46" s="492" t="str">
        <f aca="false">IF(ISERROR(VLOOKUP($A46,'liste reference'!$A$6:$B$1174,2,0)),IF(ISERROR(VLOOKUP($A46,'liste reference'!$B$6:$B$1174,1,0)),"",VLOOKUP($A46,'liste reference'!$B$6:$B$1174,1,0)),VLOOKUP($A46,'liste reference'!$A$6:$B$1174,2,0))</f>
        <v>Iris pseudacorus</v>
      </c>
      <c r="E46" s="493" t="e">
        <f aca="false">IF(D46="",0,VLOOKUP(D46,D$22:D45,1,0))</f>
        <v>#N/A</v>
      </c>
      <c r="F46" s="494" t="n">
        <f aca="false">IF(AND(OR(A46="",A46="!!!!!!"),B46="",C46=""),"",IF(OR(AND(B46="",C46=""),ISERROR(C46+B46)),"!!!",($B46*$B$7+$C46*$C$7)/100))</f>
        <v>0.000355</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10</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Iris pseudacorus</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1601</v>
      </c>
      <c r="R46" s="484" t="n">
        <f aca="false">IF(ISTEXT(H46),"",(B46*$B$7/100)+(C46*$C$7/100))</f>
        <v>0.000355</v>
      </c>
      <c r="S46" s="485" t="n">
        <f aca="false">IF(OR(ISTEXT(H46),R46=0),"",IF(R46&lt;0.1,1,IF(R46&lt;1,2,IF(R46&lt;10,3,IF(R46&lt;50,4,IF(R46&gt;=50,5,""))))))</f>
        <v>1</v>
      </c>
      <c r="T46" s="485" t="n">
        <f aca="false">IF(ISERROR(S46*J46),0,S46*J46)</f>
        <v>10</v>
      </c>
      <c r="U46" s="485" t="n">
        <f aca="false">IF(ISERROR(S46*J46*K46),0,S46*J46*K46)</f>
        <v>10</v>
      </c>
      <c r="V46" s="501" t="n">
        <f aca="false">IF(ISERROR(S46*K46),0,S46*K46)</f>
        <v>1</v>
      </c>
      <c r="W46" s="502"/>
      <c r="X46" s="503"/>
      <c r="Y46" s="488" t="str">
        <f aca="false">IF(AND(ISNUMBER(F46),OR(A46="",A46="!!!!!!")),"!!!!!!",IF(A46="new.cod","NEWCOD",IF(AND((Z46=""),ISTEXT(A46),A46&lt;&gt;"!!!!!!"),A46,IF(Z46="","",INDEX('liste reference'!$A$6:$A$1174,Z46)))))</f>
        <v>IRIPSE</v>
      </c>
      <c r="Z46" s="470" t="n">
        <f aca="false">IF(ISERROR(MATCH(A46,'liste reference'!$A$6:$A$1174,0)),IF(ISERROR(MATCH(A46,'liste reference'!$B$6:$B$1174,0)),"",(MATCH(A46,'liste reference'!$B$6:$B$1174,0))),(MATCH(A46,'liste reference'!$A$6:$A$1174,0)))</f>
        <v>682</v>
      </c>
    </row>
    <row r="47" customFormat="false" ht="12.75" hidden="false" customHeight="false" outlineLevel="0" collapsed="false">
      <c r="A47" s="489" t="s">
        <v>2127</v>
      </c>
      <c r="B47" s="490"/>
      <c r="C47" s="491" t="n">
        <v>1</v>
      </c>
      <c r="D47" s="492" t="str">
        <f aca="false">IF(ISERROR(VLOOKUP($A47,'liste reference'!$A$6:$B$1174,2,0)),IF(ISERROR(VLOOKUP($A47,'liste reference'!$B$6:$B$1174,1,0)),"",VLOOKUP($A47,'liste reference'!$B$6:$B$1174,1,0)),VLOOKUP($A47,'liste reference'!$A$6:$B$1174,2,0))</f>
        <v>Ludwigia peploides</v>
      </c>
      <c r="E47" s="493" t="e">
        <f aca="false">IF(D47="",0,VLOOKUP(D47,D$22:D46,1,0))</f>
        <v>#N/A</v>
      </c>
      <c r="F47" s="494" t="n">
        <f aca="false">IF(AND(OR(A47="",A47="!!!!!!"),B47="",C47=""),"",IF(OR(AND(B47="",C47=""),ISERROR(C47+B47)),"!!!",($B47*$B$7+$C47*$C$7)/100))</f>
        <v>0.929</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Ludwigia peploides</v>
      </c>
      <c r="M47" s="498"/>
      <c r="N47" s="498"/>
      <c r="O47" s="498"/>
      <c r="P47" s="499" t="s">
        <v>3448</v>
      </c>
      <c r="Q47" s="500" t="n">
        <f aca="false">IF(OR($A47="NEWCOD",$A47="!!!!!!"),IF(X47="","NoCod",X47),IF($A47="","",IF(ISERROR(VLOOKUP($A47,'liste reference'!$A$6:$H$1174,8,0)),IF(ISERROR(VLOOKUP($A47,'liste reference'!$B$6:$H$1174,7,0)),"",VLOOKUP($A47,'liste reference'!$B$6:$H$1174,7,0)),VLOOKUP($A47,'liste reference'!$A$6:$H$1174,8,0))))</f>
        <v>1856</v>
      </c>
      <c r="R47" s="484" t="n">
        <f aca="false">IF(ISTEXT(H47),"",(B47*$B$7/100)+(C47*$C$7/100))</f>
        <v>0.929</v>
      </c>
      <c r="S47" s="485" t="n">
        <f aca="false">IF(OR(ISTEXT(H47),R47=0),"",IF(R47&lt;0.1,1,IF(R47&lt;1,2,IF(R47&lt;10,3,IF(R47&lt;50,4,IF(R47&gt;=50,5,""))))))</f>
        <v>2</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LUDPEP</v>
      </c>
      <c r="Z47" s="470" t="n">
        <f aca="false">IF(ISERROR(MATCH(A47,'liste reference'!$A$6:$A$1174,0)),IF(ISERROR(MATCH(A47,'liste reference'!$B$6:$B$1174,0)),"",(MATCH(A47,'liste reference'!$B$6:$B$1174,0))),(MATCH(A47,'liste reference'!$A$6:$A$1174,0)))</f>
        <v>690</v>
      </c>
    </row>
    <row r="48" customFormat="false" ht="12.75" hidden="false" customHeight="false" outlineLevel="0" collapsed="false">
      <c r="A48" s="489" t="s">
        <v>2174</v>
      </c>
      <c r="B48" s="490" t="n">
        <v>0.25</v>
      </c>
      <c r="C48" s="491" t="n">
        <v>2</v>
      </c>
      <c r="D48" s="492" t="str">
        <f aca="false">IF(ISERROR(VLOOKUP($A48,'liste reference'!$A$6:$B$1174,2,0)),IF(ISERROR(VLOOKUP($A48,'liste reference'!$B$6:$B$1174,1,0)),"",VLOOKUP($A48,'liste reference'!$B$6:$B$1174,1,0)),VLOOKUP($A48,'liste reference'!$A$6:$B$1174,2,0))</f>
        <v>Phragmites australis</v>
      </c>
      <c r="E48" s="493" t="e">
        <f aca="false">IF(D48="",0,VLOOKUP(D48,D$22:D47,1,0))</f>
        <v>#N/A</v>
      </c>
      <c r="F48" s="494" t="n">
        <f aca="false">IF(AND(OR(A48="",A48="!!!!!!"),B48="",C48=""),"",IF(OR(AND(B48="",C48=""),ISERROR(C48+B48)),"!!!",($B48*$B$7+$C48*$C$7)/100))</f>
        <v>1.87575</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n">
        <f aca="false">IF(ISNUMBER($H48),IF(ISERROR(VLOOKUP($A48,'liste reference'!$A$6:$Q$1174,6,0)),IF(ISERROR(VLOOKUP($A48,'liste reference'!$B$6:$Q$1174,5,0)),"nu",VLOOKUP($A48,'liste reference'!$B$6:$Q$1174,5,0)),VLOOKUP($A48,'liste reference'!$A$6:$Q$1174,6,0)),"nu")</f>
        <v>9</v>
      </c>
      <c r="K48" s="497" t="n">
        <f aca="false">IF(ISNUMBER($H48),IF(ISERROR(VLOOKUP($A48,'liste reference'!$A$6:$Q$1174,7,0)),IF(ISERROR(VLOOKUP($A48,'liste reference'!$B$6:$Q$1174,6,0)),"nu",VLOOKUP($A48,'liste reference'!$B$6:$Q$1174,6,0)),VLOOKUP($A48,'liste reference'!$A$6:$Q$1174,7,0)),"nu")</f>
        <v>2</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Phragmites australis</v>
      </c>
      <c r="M48" s="498"/>
      <c r="N48" s="498"/>
      <c r="O48" s="498"/>
      <c r="P48" s="499" t="s">
        <v>3448</v>
      </c>
      <c r="Q48" s="500" t="n">
        <f aca="false">IF(OR($A48="NEWCOD",$A48="!!!!!!"),IF(X48="","NoCod",X48),IF($A48="","",IF(ISERROR(VLOOKUP($A48,'liste reference'!$A$6:$H$1174,8,0)),IF(ISERROR(VLOOKUP($A48,'liste reference'!$B$6:$H$1174,7,0)),"",VLOOKUP($A48,'liste reference'!$B$6:$H$1174,7,0)),VLOOKUP($A48,'liste reference'!$A$6:$H$1174,8,0))))</f>
        <v>1579</v>
      </c>
      <c r="R48" s="484" t="n">
        <f aca="false">IF(ISTEXT(H48),"",(B48*$B$7/100)+(C48*$C$7/100))</f>
        <v>1.87575</v>
      </c>
      <c r="S48" s="485" t="n">
        <f aca="false">IF(OR(ISTEXT(H48),R48=0),"",IF(R48&lt;0.1,1,IF(R48&lt;1,2,IF(R48&lt;10,3,IF(R48&lt;50,4,IF(R48&gt;=50,5,""))))))</f>
        <v>3</v>
      </c>
      <c r="T48" s="485" t="n">
        <f aca="false">IF(ISERROR(S48*J48),0,S48*J48)</f>
        <v>27</v>
      </c>
      <c r="U48" s="485" t="n">
        <f aca="false">IF(ISERROR(S48*J48*K48),0,S48*J48*K48)</f>
        <v>54</v>
      </c>
      <c r="V48" s="501" t="n">
        <f aca="false">IF(ISERROR(S48*K48),0,S48*K48)</f>
        <v>6</v>
      </c>
      <c r="W48" s="502"/>
      <c r="X48" s="503"/>
      <c r="Y48" s="488" t="str">
        <f aca="false">IF(AND(ISNUMBER(F48),OR(A48="",A48="!!!!!!")),"!!!!!!",IF(A48="new.cod","NEWCOD",IF(AND((Z48=""),ISTEXT(A48),A48&lt;&gt;"!!!!!!"),A48,IF(Z48="","",INDEX('liste reference'!$A$6:$A$1174,Z48)))))</f>
        <v>PHRAUS</v>
      </c>
      <c r="Z48" s="470" t="n">
        <f aca="false">IF(ISERROR(MATCH(A48,'liste reference'!$A$6:$A$1174,0)),IF(ISERROR(MATCH(A48,'liste reference'!$B$6:$B$1174,0)),"",(MATCH(A48,'liste reference'!$B$6:$B$1174,0))),(MATCH(A48,'liste reference'!$A$6:$A$1174,0)))</f>
        <v>709</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75.374495</v>
      </c>
      <c r="G83" s="424"/>
      <c r="H83" s="424"/>
      <c r="I83" s="424"/>
      <c r="J83" s="424"/>
      <c r="K83" s="424"/>
      <c r="L83" s="424"/>
      <c r="M83" s="485"/>
      <c r="N83" s="485"/>
      <c r="O83" s="485"/>
      <c r="P83" s="485"/>
      <c r="Q83" s="485"/>
      <c r="R83" s="485"/>
      <c r="S83" s="485"/>
      <c r="T83" s="485"/>
      <c r="U83" s="485"/>
      <c r="V83" s="485" t="n">
        <f aca="false">SUM(V23:V82)</f>
        <v>61</v>
      </c>
      <c r="W83" s="485"/>
      <c r="X83" s="523"/>
      <c r="Y83" s="523"/>
      <c r="Z83" s="524"/>
    </row>
    <row r="84" customFormat="false" ht="12.75" hidden="true" customHeight="false" outlineLevel="0" collapsed="false">
      <c r="A84" s="518" t="str">
        <f aca="false">A3</f>
        <v>EYGUES</v>
      </c>
      <c r="B84" s="453" t="str">
        <f aca="false">C3</f>
        <v>AYGUES A CADEROUSSE</v>
      </c>
      <c r="C84" s="525" t="str">
        <f aca="false">A4</f>
        <v>(Date)</v>
      </c>
      <c r="D84" s="526" t="n">
        <f aca="false">IF(OR(ISERROR(SUM($U$23:$U$82)/SUM($V$23:$V$82)),F7&lt;&gt;100),-1,SUM($U$23:$U$82)/SUM($V$23:$V$82))</f>
        <v>6.9344262295082</v>
      </c>
      <c r="E84" s="527" t="n">
        <f aca="false">O13</f>
        <v>26</v>
      </c>
      <c r="F84" s="453" t="n">
        <f aca="false">O14</f>
        <v>22</v>
      </c>
      <c r="G84" s="453" t="n">
        <f aca="false">O15</f>
        <v>9</v>
      </c>
      <c r="H84" s="453" t="n">
        <f aca="false">O16</f>
        <v>11</v>
      </c>
      <c r="I84" s="453" t="n">
        <f aca="false">O17</f>
        <v>2</v>
      </c>
      <c r="J84" s="528" t="n">
        <f aca="false">O8</f>
        <v>7.95454545454545</v>
      </c>
      <c r="K84" s="529" t="n">
        <f aca="false">O9</f>
        <v>2.93067278542089</v>
      </c>
      <c r="L84" s="530" t="n">
        <f aca="false">O10</f>
        <v>2</v>
      </c>
      <c r="M84" s="530" t="n">
        <f aca="false">O11</f>
        <v>13</v>
      </c>
      <c r="N84" s="529" t="n">
        <f aca="false">P8</f>
        <v>1.68181818181818</v>
      </c>
      <c r="O84" s="529" t="n">
        <f aca="false">P9</f>
        <v>0.631474726793173</v>
      </c>
      <c r="P84" s="530" t="n">
        <f aca="false">P10</f>
        <v>1</v>
      </c>
      <c r="Q84" s="530" t="n">
        <f aca="false">P11</f>
        <v>3</v>
      </c>
      <c r="R84" s="530" t="n">
        <f aca="false">F21</f>
        <v>75.374495</v>
      </c>
      <c r="S84" s="530" t="n">
        <f aca="false">L11</f>
        <v>0</v>
      </c>
      <c r="T84" s="530" t="n">
        <f aca="false">L12</f>
        <v>7</v>
      </c>
      <c r="U84" s="530" t="n">
        <f aca="false">L13</f>
        <v>1</v>
      </c>
      <c r="V84" s="531" t="n">
        <f aca="false">L15</f>
        <v>16</v>
      </c>
      <c r="W84" s="532" t="n">
        <f aca="false">L15</f>
        <v>16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12</v>
      </c>
      <c r="U87" s="281"/>
      <c r="V87" s="281"/>
    </row>
    <row r="88" customFormat="false" ht="12.75" hidden="true" customHeight="false" outlineLevel="0" collapsed="false">
      <c r="C88" s="534"/>
      <c r="D88" s="534"/>
      <c r="E88" s="534"/>
      <c r="R88" s="281" t="s">
        <v>3452</v>
      </c>
      <c r="S88" s="281"/>
      <c r="T88" s="536" t="n">
        <f aca="false">VLOOKUP($T$91,($A$23:$U$82),21,0)</f>
        <v>36</v>
      </c>
      <c r="U88" s="281"/>
      <c r="V88" s="281" t="n">
        <f aca="false">COUNTIF(V23:V82,T89)</f>
        <v>1</v>
      </c>
    </row>
    <row r="89" customFormat="false" ht="12.75" hidden="true" customHeight="false" outlineLevel="0" collapsed="false">
      <c r="C89" s="534"/>
      <c r="D89" s="534"/>
      <c r="E89" s="534"/>
      <c r="R89" s="281" t="s">
        <v>3453</v>
      </c>
      <c r="S89" s="281"/>
      <c r="T89" s="536" t="n">
        <f aca="false">MAX($V$23:$V$82)</f>
        <v>9</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7.44230769230769</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POTNOD</v>
      </c>
      <c r="U91" s="281" t="n">
        <f aca="false">IF(ISERROR(MATCH($T$93,'liste reference'!$A$6:$A$1174,0)),MATCH($T$93,'liste reference'!$B$6:$B$1174,0),(MATCH($T$93,'liste reference'!$A$6:$A$1174,0)))</f>
        <v>530</v>
      </c>
      <c r="V91" s="538"/>
    </row>
    <row r="92" customFormat="false" ht="12.75" hidden="true" customHeight="false" outlineLevel="0" collapsed="false">
      <c r="C92" s="534"/>
      <c r="D92" s="534"/>
      <c r="E92" s="534"/>
      <c r="R92" s="281" t="s">
        <v>3456</v>
      </c>
      <c r="S92" s="281"/>
      <c r="T92" s="281" t="n">
        <f aca="false">MATCH(T89,$V$23:$V$82,0)</f>
        <v>19</v>
      </c>
      <c r="U92" s="281"/>
    </row>
    <row r="93" customFormat="false" ht="12.75" hidden="true" customHeight="false" outlineLevel="0" collapsed="false">
      <c r="C93" s="534"/>
      <c r="D93" s="534"/>
      <c r="E93" s="534"/>
      <c r="R93" s="485" t="s">
        <v>3457</v>
      </c>
      <c r="S93" s="281"/>
      <c r="T93" s="485" t="str">
        <f aca="false">INDEX($A$23:$A$82,$T$92)</f>
        <v>POTNOD</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3389</v>
      </c>
      <c r="G18" s="573"/>
      <c r="H18" s="572" t="s">
        <v>3389</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2017-07-27T15:37:49Z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