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Meyne à Orang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5" name="_xlnm.Print_Area" vbProcedure="false">'Meyne à Orange'!$A$1:$O$82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'Meyne à Orange'!$A$23:$J$84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<sst xmlns="http://schemas.openxmlformats.org/spreadsheetml/2006/main" count="7352" uniqueCount="2730">
  <si>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</si>
  <si>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</si>
  <si>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</si>
  <si>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</si>
  <si>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</si>
  <si>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</si>
  <si>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</si>
  <si>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</si>
  <si>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</si>
  <si>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</si>
  <si>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</si>
  <si>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</si>
  <si>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</si>
  <si>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</si>
  <si>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</si>
  <si>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</si>
  <si>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</si>
  <si>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</si>
  <si>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</si>
  <si>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</si>
  <si>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</si>
  <si>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</si>
  <si>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</si>
  <si>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</si>
  <si>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</si>
  <si>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</si>
  <si>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</si>
  <si>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</si>
  <si>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</si>
  <si>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</si>
  <si>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</si>
  <si>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</si>
  <si>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</si>
  <si>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</si>
  <si>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</si>
  <si>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</si>
  <si>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</si>
  <si>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</si>
  <si>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</si>
  <si>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</si>
  <si>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</si>
  <si>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</si>
  <si>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</si>
  <si>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</si>
  <si>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</si>
  <si>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</si>
  <si>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</si>
  <si>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</si>
  <si>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</si>
  <si>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</si>
  <si>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</si>
  <si>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</si>
  <si>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</si>
  <si>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</si>
  <si>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</si>
  <si>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</si>
  <si>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</si>
  <si>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</si>
  <si>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</si>
  <si>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</si>
  <si>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</si>
  <si>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</si>
  <si>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</si>
  <si>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</si>
  <si>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</si>
  <si>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</si>
  <si>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</si>
  <si>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</si>
  <si>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</si>
  <si>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</si>
  <si>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</si>
  <si>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</si>
  <si>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</si>
  <si>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</si>
  <si>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</si>
  <si>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</si>
  <si>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</si>
  <si>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</si>
  <si>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</si>
  <si>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</si>
  <si>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</si>
  <si>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</si>
  <si>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</si>
  <si>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</si>
  <si>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</si>
  <si>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</si>
  <si>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</si>
  <si>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</si>
  <si>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</si>
  <si>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</si>
  <si>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</si>
  <si>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</si>
  <si>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</si>
  <si>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</si>
  <si>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</si>
  <si>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</si>
  <si>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</si>
  <si>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</si>
  <si>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</si>
  <si>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</si>
  <si>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</si>
  <si>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</si>
  <si>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</si>
  <si>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</si>
  <si>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</si>
  <si>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</si>
  <si>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</si>
  <si>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</si>
  <si>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</si>
  <si>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</si>
  <si>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</si>
  <si>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</si>
  <si>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</si>
  <si>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</si>
  <si>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</si>
  <si>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</si>
  <si>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</si>
  <si>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</si>
  <si>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</si>
  <si>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</si>
  <si>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</si>
  <si>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</si>
  <si>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</si>
  <si>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</si>
  <si>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</si>
  <si>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</si>
  <si>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</si>
  <si>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</si>
  <si>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</si>
  <si>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</si>
  <si>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</si>
  <si>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</si>
  <si>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</si>
  <si>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</si>
  <si>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</si>
  <si>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</si>
  <si>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</si>
  <si>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</si>
  <si>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</si>
  <si>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</si>
  <si>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</si>
  <si>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</si>
  <si>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</si>
  <si>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</si>
  <si>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</si>
  <si>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</si>
  <si>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</si>
  <si>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</si>
  <si>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</si>
  <si>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</si>
  <si>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</si>
  <si>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</si>
  <si>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</si>
  <si>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</si>
  <si>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</si>
  <si>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</si>
  <si>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</si>
  <si>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</si>
  <si>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</si>
  <si>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</si>
  <si>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</si>
  <si>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</si>
  <si>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</si>
  <si>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</si>
  <si>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</si>
  <si>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</si>
  <si>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</si>
  <si>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</si>
  <si>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</si>
  <si>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</si>
  <si>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</si>
  <si>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</si>
  <si>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</si>
  <si>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</si>
  <si>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</si>
  <si>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</si>
  <si>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</si>
  <si>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</si>
  <si>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</si>
  <si>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</si>
  <si>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</si>
  <si>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</si>
  <si>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</si>
  <si>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</si>
  <si>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</si>
  <si>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</si>
  <si>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</si>
  <si>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</si>
  <si>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</si>
  <si>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</si>
  <si>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</si>
  <si>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</si>
  <si>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</si>
  <si>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</si>
  <si>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</si>
  <si>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</si>
  <si>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</si>
  <si>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</si>
  <si>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</si>
  <si>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</si>
  <si>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</si>
  <si>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</si>
  <si>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</si>
  <si>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</si>
  <si>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</si>
  <si>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</si>
  <si>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</si>
  <si>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</si>
  <si>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</si>
  <si>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</si>
  <si>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</si>
  <si>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</si>
  <si>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</si>
  <si>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</si>
  <si>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</si>
  <si>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</si>
  <si>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</si>
  <si>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</si>
  <si>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</si>
  <si>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</si>
  <si>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</si>
  <si>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</si>
  <si>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</si>
  <si>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</si>
  <si>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</si>
  <si>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</si>
  <si>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</si>
  <si>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</si>
  <si>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</si>
  <si>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</si>
  <si>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</si>
  <si>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</si>
  <si>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</si>
  <si>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</si>
  <si>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</si>
  <si>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</si>
  <si>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</si>
  <si>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</si>
  <si>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</si>
  <si>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</si>
  <si>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</si>
  <si>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</si>
  <si>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</si>
  <si>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</si>
  <si>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</si>
  <si>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</si>
  <si>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</si>
  <si>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</si>
  <si>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</si>
  <si>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</si>
  <si>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</si>
  <si>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</si>
  <si>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</si>
  <si>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</si>
  <si>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</si>
  <si>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</si>
  <si>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</si>
  <si>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</si>
  <si>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</si>
  <si>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</si>
  <si>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</si>
  <si>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</si>
  <si>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</si>
  <si>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</si>
  <si>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</si>
  <si>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</si>
  <si>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</si>
  <si>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</si>
  <si>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</si>
  <si>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</si>
  <si>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</si>
  <si>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</si>
  <si>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</si>
  <si>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</si>
  <si>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</si>
  <si>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</si>
  <si>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</si>
  <si>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</si>
  <si>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</si>
  <si>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</si>
  <si>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</si>
  <si>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</si>
  <si>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</si>
  <si>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</si>
  <si>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</si>
  <si>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</si>
  <si>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</si>
  <si>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</si>
  <si>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</si>
  <si>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</si>
  <si>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</si>
  <si>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</si>
  <si>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</si>
  <si>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</si>
  <si>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</si>
  <si>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</si>
  <si>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</si>
  <si>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</si>
  <si>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</si>
  <si>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</si>
  <si>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</si>
  <si>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</si>
  <si>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</si>
  <si>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</si>
  <si>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</si>
  <si>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</si>
  <si>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</si>
  <si>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</si>
  <si>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</si>
  <si>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</si>
  <si>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</si>
  <si>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</si>
  <si>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</si>
  <si>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</si>
  <si>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</si>
  <si>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</si>
  <si>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</si>
  <si>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</si>
  <si>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</si>
  <si>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</si>
  <si>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</si>
  <si>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</si>
  <si>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</si>
  <si>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</si>
  <si>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</si>
  <si>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</si>
  <si>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</si>
  <si>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</si>
  <si>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</si>
  <si>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</si>
  <si>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</si>
  <si>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</si>
  <si>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</si>
  <si>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</si>
  <si>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</si>
  <si>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</si>
  <si>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</si>
  <si>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</si>
  <si>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</si>
  <si>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</si>
  <si>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</si>
  <si>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</si>
  <si>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</si>
  <si>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</si>
  <si>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</si>
  <si>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</si>
  <si>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</si>
  <si>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</si>
  <si>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</si>
  <si>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</si>
  <si>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</si>
  <si>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</si>
  <si>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</si>
  <si>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</si>
  <si>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</si>
  <si>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</si>
  <si>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</si>
  <si>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</si>
  <si>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</si>
  <si>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</si>
  <si>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</si>
  <si>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</si>
  <si>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</si>
  <si>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</si>
  <si>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</si>
  <si>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</si>
  <si>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</si>
  <si>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</si>
  <si>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</si>
  <si>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</si>
  <si>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</si>
  <si>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</si>
  <si>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</si>
  <si>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</si>
  <si>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</si>
  <si>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</si>
  <si>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</si>
  <si>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</si>
  <si>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</si>
  <si>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</si>
  <si>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</si>
  <si>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</si>
  <si>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</si>
  <si>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</si>
  <si>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</si>
  <si>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</si>
  <si>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</si>
  <si>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</si>
  <si>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</si>
  <si>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</si>
  <si>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</si>
  <si>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</si>
  <si>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</si>
  <si>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</si>
  <si>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</si>
  <si>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</si>
  <si>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</si>
  <si>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</si>
  <si>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</si>
  <si>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</si>
  <si>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</si>
  <si>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</si>
  <si>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</si>
  <si>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</si>
  <si>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</si>
  <si>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</si>
  <si>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</si>
  <si>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</si>
  <si>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</si>
  <si>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</si>
  <si>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</si>
  <si>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</si>
  <si>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</si>
  <si>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</si>
  <si>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</si>
  <si>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</si>
  <si>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</si>
  <si>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</si>
  <si>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</si>
  <si>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</si>
  <si>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</si>
  <si>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</si>
  <si>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</si>
  <si>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</si>
  <si>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</si>
  <si>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</si>
  <si>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</si>
  <si>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</si>
  <si>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</si>
  <si>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</si>
  <si>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</si>
  <si>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</si>
  <si>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</si>
  <si>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</si>
  <si>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</si>
  <si>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</si>
  <si>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</si>
  <si>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</si>
  <si>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</si>
  <si>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</si>
  <si>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</si>
  <si>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</si>
  <si>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</si>
  <si>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</si>
  <si>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</si>
  <si>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</si>
  <si>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</si>
  <si>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</si>
  <si>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</si>
  <si>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</si>
  <si>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</si>
  <si>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</si>
  <si>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</si>
  <si>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</si>
  <si>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</si>
  <si>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</si>
  <si>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</si>
  <si>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</si>
  <si>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</si>
  <si>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</si>
  <si>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</si>
  <si>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</si>
  <si>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</si>
  <si>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</si>
  <si>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</si>
  <si>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</si>
  <si>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</si>
  <si>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</si>
  <si>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</si>
  <si>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</si>
  <si>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</si>
  <si>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</si>
  <si>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</si>
  <si>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</si>
  <si>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</si>
  <si>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</si>
  <si>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</si>
  <si>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</si>
  <si>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</si>
  <si>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</si>
  <si>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</si>
  <si>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</si>
  <si>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</si>
  <si>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</si>
  <si>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</si>
  <si>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</si>
  <si>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</si>
  <si>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</si>
  <si>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</si>
  <si>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</si>
  <si>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</si>
  <si>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</si>
  <si>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</si>
  <si>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</si>
  <si>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</si>
  <si>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</si>
  <si>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</si>
  <si>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</si>
  <si>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</si>
  <si>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</si>
  <si>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</si>
  <si>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</si>
  <si>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</si>
  <si>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</si>
  <si>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</si>
  <si>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</si>
  <si>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</si>
  <si>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</si>
  <si>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</si>
  <si>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</si>
  <si>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</si>
  <si>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</si>
  <si>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</si>
  <si>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</si>
  <si>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</si>
  <si>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</si>
  <si>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</si>
  <si>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</si>
  <si>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</si>
  <si>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</si>
  <si>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</si>
  <si>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</si>
  <si>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</si>
  <si>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</si>
  <si>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</si>
  <si>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</si>
  <si>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</si>
  <si>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</si>
  <si>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</si>
  <si>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</si>
  <si>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</si>
  <si>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</si>
  <si>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</si>
  <si>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</si>
  <si>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</si>
  <si>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</si>
  <si>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</si>
  <si>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</si>
  <si>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</si>
  <si>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</si>
  <si>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</si>
  <si>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</si>
  <si>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</si>
  <si>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</si>
  <si>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</si>
  <si>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</si>
  <si>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</si>
  <si>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</si>
  <si>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</si>
  <si>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</si>
  <si>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</si>
  <si>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</si>
  <si>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</si>
  <si>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</si>
  <si>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</si>
  <si>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</si>
  <si>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</si>
  <si>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</si>
  <si>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</si>
  <si>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</si>
  <si>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</si>
  <si>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</si>
  <si>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</si>
  <si>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</si>
  <si>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</si>
  <si>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</si>
  <si>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</si>
  <si>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</si>
  <si>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</si>
  <si>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</si>
  <si>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</si>
  <si>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</si>
  <si>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</si>
  <si>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</si>
  <si>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</si>
  <si>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</si>
  <si>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</si>
  <si>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</si>
  <si>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</si>
  <si>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</si>
  <si>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</si>
  <si>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</si>
  <si>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</si>
  <si>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</si>
  <si>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</si>
  <si>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</si>
  <si>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</si>
  <si>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</si>
  <si>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</si>
  <si>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</si>
  <si>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</si>
  <si>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</si>
  <si>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</si>
  <si>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</si>
  <si>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</si>
  <si>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</si>
  <si>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</si>
  <si>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</si>
  <si>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</si>
  <si>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</si>
  <si>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</si>
  <si>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</si>
  <si>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</si>
  <si>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</si>
  <si>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</si>
  <si>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</si>
  <si>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</si>
  <si>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</si>
  <si>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</si>
  <si>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</si>
  <si>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</si>
  <si>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</si>
  <si>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</si>
  <si>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</si>
  <si>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</si>
  <si>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</si>
  <si>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</si>
  <si>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</si>
  <si>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</si>
  <si>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</si>
  <si>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</si>
  <si>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</si>
  <si>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</si>
  <si>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</si>
  <si>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</si>
  <si>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</si>
  <si>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</si>
  <si>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</si>
  <si>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</si>
  <si>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</si>
  <si>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</si>
  <si>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</si>
  <si>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</si>
  <si>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</si>
  <si>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</si>
  <si>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</si>
  <si>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</si>
  <si>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</si>
  <si>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</si>
  <si>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</si>
  <si>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</si>
  <si>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</si>
  <si>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</si>
  <si>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</si>
  <si>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</si>
  <si>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</si>
  <si>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</si>
  <si>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</si>
  <si>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</si>
  <si>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</si>
  <si>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</si>
  <si>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</si>
  <si>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</si>
  <si>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</si>
  <si>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</si>
  <si>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</si>
  <si>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</si>
  <si>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</si>
  <si>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</si>
  <si>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</si>
  <si>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</si>
  <si>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</si>
  <si>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</si>
  <si>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</si>
  <si>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</si>
  <si>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</si>
  <si>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</si>
  <si>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</si>
  <si>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</si>
  <si>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</si>
  <si>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</si>
  <si>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</si>
  <si>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</si>
  <si>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</si>
  <si>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</si>
  <si>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</si>
  <si>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</si>
  <si>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</si>
  <si>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</si>
  <si>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</si>
  <si>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</si>
  <si>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</si>
  <si>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</si>
  <si>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</si>
  <si>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</si>
  <si>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</si>
  <si>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</si>
  <si>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</si>
  <si>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</si>
  <si>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</si>
  <si>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</si>
  <si>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</si>
  <si>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</si>
  <si>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</si>
  <si>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</si>
  <si>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</si>
  <si>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</si>
  <si>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</si>
  <si>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</si>
  <si>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</si>
  <si>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</si>
  <si>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</si>
  <si>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</si>
  <si>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</si>
  <si>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</si>
  <si>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</si>
  <si>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</si>
  <si>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</si>
  <si>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</si>
  <si>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</si>
  <si>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</si>
  <si>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</si>
  <si>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</si>
  <si>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</si>
  <si>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</si>
  <si>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</si>
  <si>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</si>
  <si>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</si>
  <si>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</si>
  <si>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</si>
  <si>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</si>
  <si>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</si>
  <si>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</si>
  <si>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</si>
  <si>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</si>
  <si>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</si>
  <si>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</si>
  <si>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</si>
  <si>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</si>
  <si>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</si>
  <si>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</si>
  <si>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</si>
  <si>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</si>
  <si>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</si>
  <si>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</si>
  <si>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</si>
  <si>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</si>
  <si>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</si>
  <si>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</si>
  <si>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</si>
  <si>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</si>
  <si>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</si>
  <si>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</si>
  <si>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</si>
  <si>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</si>
  <si>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</si>
  <si>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</si>
  <si>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</si>
  <si>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</si>
  <si>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</si>
  <si>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</si>
  <si>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</si>
  <si>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</si>
  <si>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</si>
  <si>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</si>
  <si>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</si>
  <si>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</si>
  <si>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</si>
  <si>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</si>
  <si>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</si>
  <si>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</si>
  <si>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</si>
  <si>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</si>
  <si>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</si>
  <si>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</si>
  <si>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</si>
  <si>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</si>
  <si>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</si>
  <si>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</si>
  <si>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</si>
  <si>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</si>
  <si>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</si>
  <si>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</si>
  <si>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</si>
  <si>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</si>
  <si>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</si>
  <si>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</si>
  <si>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</si>
  <si>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</si>
  <si>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</si>
  <si>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</si>
  <si>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</si>
  <si>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</si>
  <si>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</si>
  <si>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</si>
  <si>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</si>
  <si>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</si>
  <si>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</si>
  <si>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</si>
  <si>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</si>
  <si>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</si>
  <si>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</si>
  <si>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</si>
  <si>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</si>
  <si>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</si>
  <si>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</si>
  <si>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</si>
  <si>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</si>
  <si>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</si>
  <si>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</si>
  <si>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</si>
  <si>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</si>
  <si>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</si>
  <si>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</si>
  <si>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</si>
  <si>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</si>
  <si>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</si>
  <si>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</si>
  <si>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</si>
  <si>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</si>
  <si>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</si>
  <si>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</si>
  <si>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</si>
  <si>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</si>
  <si>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</si>
  <si>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</si>
  <si>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</si>
  <si>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</si>
  <si>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</si>
  <si>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</si>
  <si>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</si>
  <si>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</si>
  <si>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</si>
  <si>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</si>
  <si>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</si>
  <si>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</si>
  <si>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</si>
  <si>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</si>
  <si>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</si>
  <si>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</si>
  <si>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</si>
  <si>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</si>
  <si>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</si>
  <si>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</si>
  <si>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</si>
  <si>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</si>
  <si>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</si>
  <si>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</si>
  <si>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</si>
  <si>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</si>
  <si>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</si>
  <si>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</si>
  <si>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</si>
  <si>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</si>
  <si>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</si>
  <si>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</si>
  <si>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</si>
  <si>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</si>
  <si>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</si>
  <si>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</si>
  <si>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</si>
  <si>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</si>
  <si>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</si>
  <si>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</si>
  <si>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</si>
  <si>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</si>
  <si>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</si>
  <si>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</si>
  <si>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</si>
  <si>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</si>
  <si>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</si>
  <si>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</si>
  <si>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</si>
  <si>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</si>
  <si>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</si>
  <si>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</si>
  <si>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</si>
  <si>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</si>
  <si>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</si>
  <si>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</si>
  <si>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</si>
  <si>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</si>
  <si>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</si>
  <si>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</si>
  <si>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</si>
  <si>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</si>
  <si>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</si>
  <si>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</si>
  <si>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</si>
  <si>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</si>
  <si>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</si>
  <si>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</si>
  <si>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</si>
  <si>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</si>
  <si>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</si>
  <si>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</si>
  <si>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</si>
  <si>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</si>
  <si>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</si>
  <si>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</si>
  <si>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</si>
  <si>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</si>
  <si>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</si>
  <si>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</si>
  <si>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</si>
  <si>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</si>
  <si>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</si>
  <si>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</si>
  <si>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</si>
  <si>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</si>
  <si>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</si>
  <si>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</si>
  <si>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</si>
  <si>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</si>
  <si>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</si>
  <si>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</si>
  <si>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</si>
  <si>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</si>
  <si>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</si>
  <si>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</si>
  <si>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</si>
  <si>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</si>
  <si>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</si>
  <si>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</si>
  <si>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</si>
  <si>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</si>
  <si>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</si>
  <si>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</si>
  <si>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</si>
  <si>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</si>
  <si>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</si>
  <si>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</si>
  <si>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</si>
  <si>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</si>
  <si>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</si>
  <si>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</si>
  <si>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</si>
  <si>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</si>
  <si>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</si>
  <si>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</si>
  <si>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</si>
  <si>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</si>
  <si>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</si>
  <si>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</si>
  <si>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</si>
  <si>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</si>
  <si>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</si>
  <si>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</si>
  <si>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</si>
  <si>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</si>
  <si>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</si>
  <si>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</si>
  <si>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</si>
  <si>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</si>
  <si>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</si>
  <si>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</si>
  <si>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</si>
  <si>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</si>
  <si>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</si>
  <si>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</si>
  <si>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</si>
  <si>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</si>
  <si>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</si>
  <si>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</si>
  <si>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</si>
  <si>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</si>
  <si>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</si>
  <si>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</si>
  <si>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</si>
  <si>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</si>
  <si>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</si>
  <si>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</si>
  <si>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</si>
  <si>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</si>
  <si>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</si>
  <si>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</si>
  <si>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</si>
  <si>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</si>
  <si>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</si>
  <si>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</si>
  <si>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</si>
  <si>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</si>
  <si>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</si>
  <si>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</si>
  <si>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</si>
  <si>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</si>
  <si>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</si>
  <si>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</si>
  <si>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</si>
  <si>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</si>
  <si>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</si>
  <si>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</si>
  <si>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</si>
  <si>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</si>
  <si>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</si>
  <si>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</si>
  <si>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</si>
  <si>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</si>
  <si>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</si>
  <si>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</si>
  <si>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</si>
  <si>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</si>
  <si>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</si>
  <si>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</si>
  <si>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</si>
  <si>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</si>
  <si>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</si>
  <si>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</si>
  <si>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</si>
  <si>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</si>
  <si>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</si>
  <si>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</si>
  <si>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</si>
  <si>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</si>
  <si>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</si>
  <si>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</si>
  <si>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</si>
  <si>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</si>
  <si>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</si>
  <si>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</si>
  <si>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</si>
  <si>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</si>
  <si>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</si>
  <si>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</si>
  <si>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</si>
  <si>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</si>
  <si>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</si>
  <si>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</si>
  <si>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</si>
  <si>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</si>
  <si>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</si>
  <si>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</si>
  <si>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</si>
  <si>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</si>
  <si>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</si>
  <si>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</si>
  <si>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</si>
  <si>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</si>
  <si>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</si>
  <si>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</si>
  <si>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</si>
  <si>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</si>
  <si>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</si>
  <si>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</si>
  <si>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</si>
  <si>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</si>
  <si>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</si>
  <si>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</si>
  <si>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</si>
  <si>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</si>
  <si>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</si>
  <si>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</si>
  <si>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</si>
  <si>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</si>
  <si>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</si>
  <si>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</si>
  <si>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</si>
  <si>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</si>
  <si>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</si>
  <si>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</si>
  <si>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</si>
  <si>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</si>
  <si>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</si>
  <si>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</si>
  <si>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</si>
  <si>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</si>
  <si>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</si>
  <si>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</si>
  <si>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</si>
  <si>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</si>
  <si>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</si>
  <si>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</si>
  <si>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</si>
  <si>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</si>
  <si>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</si>
  <si>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</si>
  <si>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</si>
  <si>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</si>
  <si>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</si>
  <si>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</si>
  <si>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</si>
  <si>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</si>
  <si>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</si>
  <si>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</si>
  <si>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</si>
  <si>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</si>
  <si>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</si>
  <si>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</si>
  <si>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</si>
  <si>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</si>
  <si>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</si>
  <si>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</si>
  <si>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</si>
  <si>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</si>
  <si>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</si>
  <si>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</si>
  <si>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</si>
  <si>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</si>
  <si>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</si>
  <si>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</si>
  <si>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</si>
  <si>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</si>
  <si>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</si>
  <si>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</si>
  <si>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</si>
  <si>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</si>
  <si>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</si>
  <si>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</si>
  <si>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</si>
  <si>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</si>
  <si>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</si>
  <si>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</si>
  <si>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</si>
  <si>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</si>
  <si>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</si>
  <si>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</si>
  <si>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</si>
  <si>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</si>
  <si>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</si>
  <si>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</si>
  <si>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</si>
  <si>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</si>
  <si>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</si>
  <si>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</si>
  <si>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</si>
  <si>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</si>
  <si>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</si>
  <si>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</si>
  <si>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</si>
  <si>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</si>
  <si>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</si>
  <si>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</si>
  <si>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</si>
  <si>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</si>
  <si>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</si>
  <si>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</si>
  <si>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</si>
  <si>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</si>
  <si>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</si>
  <si>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</si>
  <si>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</si>
  <si>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</si>
  <si>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</si>
  <si>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</si>
  <si>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</si>
  <si>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</si>
  <si>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</si>
  <si>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</si>
  <si>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</si>
  <si>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</si>
  <si>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</si>
  <si>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</si>
  <si>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</si>
  <si>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</si>
  <si>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</si>
  <si>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</si>
  <si>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</si>
  <si>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</si>
  <si>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</si>
  <si>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</si>
  <si>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</si>
  <si>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</si>
  <si>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</si>
  <si>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</si>
  <si>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</si>
  <si>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</si>
  <si>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</si>
  <si>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</si>
  <si>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</si>
  <si>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</si>
  <si>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</si>
  <si>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</si>
  <si>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</si>
  <si>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</si>
  <si>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</si>
  <si>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</si>
  <si>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</si>
  <si>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</si>
  <si>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</si>
  <si>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</si>
  <si>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</si>
  <si>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</si>
  <si>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</si>
  <si>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</si>
  <si>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</si>
  <si>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</si>
  <si>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</si>
  <si>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</si>
  <si>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</si>
  <si>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</si>
  <si>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</si>
  <si>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</si>
  <si>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</si>
  <si>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</si>
  <si>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</si>
  <si>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</si>
  <si>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</si>
  <si>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</si>
  <si>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</si>
  <si>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</si>
  <si>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</si>
  <si>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</si>
  <si>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</si>
  <si>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</si>
  <si>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</si>
  <si>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</si>
  <si>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</si>
  <si>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</si>
  <si>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</si>
  <si>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</si>
  <si>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</si>
  <si>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</si>
  <si>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</si>
  <si>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</si>
  <si>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</si>
  <si>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</si>
  <si>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</si>
  <si>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</si>
  <si>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</si>
  <si>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</si>
  <si>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</si>
  <si>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</si>
  <si>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</si>
  <si>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</si>
  <si>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</si>
  <si>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</si>
  <si>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</si>
  <si>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</si>
  <si>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</si>
  <si>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</si>
  <si>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</si>
  <si>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</si>
  <si>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</si>
  <si>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</si>
  <si>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</si>
  <si>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</si>
  <si>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</si>
  <si>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</si>
  <si>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</si>
  <si>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</si>
  <si>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</si>
  <si>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</si>
  <si>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</si>
  <si>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</si>
  <si>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</si>
  <si>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</si>
  <si>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</si>
  <si>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</si>
  <si>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</si>
  <si>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</si>
  <si>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</si>
  <si>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</si>
  <si>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</si>
  <si>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</si>
  <si>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</si>
  <si>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</si>
  <si>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</si>
  <si>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</si>
  <si>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</si>
  <si>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</si>
  <si>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</si>
  <si>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</si>
  <si>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</si>
  <si>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</si>
  <si>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</si>
  <si>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</si>
  <si>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</si>
  <si>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</si>
  <si>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</si>
  <si>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</si>
  <si>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</si>
  <si>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</si>
  <si>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</si>
  <si>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</si>
  <si>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</si>
  <si>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</si>
  <si>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</si>
  <si>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</si>
  <si>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</si>
  <si>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</si>
  <si>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</si>
  <si>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</si>
  <si>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</si>
  <si>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</si>
  <si>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</si>
  <si>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</si>
  <si>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</si>
  <si>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</si>
  <si>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</si>
  <si>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</si>
  <si>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</si>
  <si>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</si>
  <si>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</si>
  <si>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</si>
  <si>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</si>
  <si>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</si>
  <si>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</si>
  <si>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</si>
  <si>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</si>
  <si>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</si>
  <si>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</si>
  <si>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</si>
  <si>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</si>
  <si>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</si>
  <si>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</si>
  <si>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</si>
  <si>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</si>
  <si>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</si>
  <si>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</si>
  <si>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</si>
  <si>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</si>
  <si>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</si>
  <si>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</si>
  <si>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</si>
  <si>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</si>
  <si>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</si>
  <si>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</si>
  <si>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</si>
  <si>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</si>
  <si>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</si>
  <si>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</si>
  <si>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</si>
  <si>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</si>
  <si>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</si>
  <si>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</si>
  <si>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</si>
  <si>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</si>
  <si>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</si>
  <si>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</si>
  <si>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</si>
  <si>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</si>
  <si>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</si>
  <si>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</si>
  <si>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</si>
  <si>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</si>
  <si>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</si>
  <si>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</si>
  <si>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</si>
  <si>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</si>
  <si>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</si>
  <si>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</si>
  <si>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</si>
  <si>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</si>
  <si>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</si>
  <si>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</si>
  <si>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</si>
  <si>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</si>
  <si>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</si>
  <si>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</si>
  <si>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</si>
  <si>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</si>
  <si>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</si>
  <si>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</si>
  <si>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</si>
  <si>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</si>
  <si>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</si>
  <si>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</si>
  <si>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</si>
  <si>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</si>
  <si>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</si>
  <si>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</si>
  <si>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</si>
  <si>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</si>
  <si>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</si>
  <si>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</si>
  <si>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</si>
  <si>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</si>
  <si>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</si>
  <si>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</si>
  <si>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</si>
  <si>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</si>
  <si>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</si>
  <si>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</si>
  <si>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</si>
  <si>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</si>
  <si>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</si>
  <si>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</si>
  <si>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</si>
  <si>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</si>
  <si>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</si>
  <si>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</si>
  <si>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</si>
  <si>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</si>
  <si>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</si>
  <si>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</si>
  <si>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</si>
  <si>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</si>
  <si>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</si>
  <si>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</si>
  <si>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</si>
  <si>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</si>
  <si>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</si>
  <si>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</si>
  <si>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</si>
  <si>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</si>
  <si>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</si>
  <si>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</si>
  <si>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</si>
  <si>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</si>
  <si>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</si>
  <si>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</si>
  <si>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</si>
  <si>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</si>
  <si>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</si>
  <si>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</si>
  <si>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</si>
  <si>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</si>
  <si>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</si>
  <si>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</si>
  <si>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</si>
  <si>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</si>
  <si>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</si>
  <si>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</si>
  <si>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</si>
  <si>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</si>
  <si>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</si>
  <si>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</si>
  <si>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</si>
  <si>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</si>
  <si>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</si>
  <si>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</si>
  <si>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</si>
  <si>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</si>
  <si>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</si>
  <si>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</si>
  <si>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</si>
  <si>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</si>
  <si>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</si>
  <si>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</si>
  <si>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</si>
  <si>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</si>
  <si>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</si>
  <si>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</si>
  <si>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</si>
  <si>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</si>
  <si>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</si>
  <si>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</si>
  <si>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</si>
  <si>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</si>
  <si>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</si>
  <si>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</si>
  <si>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</si>
  <si>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</si>
  <si>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</si>
  <si>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</si>
  <si>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</si>
  <si>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</si>
  <si>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</si>
  <si>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</si>
  <si>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</si>
  <si>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</si>
  <si>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</si>
  <si>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</si>
  <si>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</si>
  <si>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</si>
  <si>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</si>
  <si>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</si>
  <si>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</si>
  <si>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</si>
  <si>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</si>
  <si>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</si>
  <si>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</si>
  <si>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</si>
  <si>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</si>
  <si>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</si>
  <si>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</si>
  <si>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</si>
  <si>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</si>
  <si>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</si>
  <si>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</si>
  <si>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</si>
  <si>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</si>
  <si>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</si>
  <si>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</si>
  <si>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</si>
  <si>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</si>
  <si>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</si>
  <si>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</si>
  <si>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</si>
  <si>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</si>
  <si>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</si>
  <si>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</si>
  <si>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</si>
  <si>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</si>
  <si>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</si>
  <si>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</si>
  <si>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</si>
  <si>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</si>
  <si>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</si>
  <si>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</si>
  <si>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</si>
  <si>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</si>
  <si>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</si>
  <si>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</si>
  <si>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</si>
  <si>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</si>
  <si>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</si>
  <si>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</si>
  <si>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</si>
  <si>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</si>
  <si>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</si>
  <si>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</si>
  <si>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</si>
  <si>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</si>
  <si>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</si>
  <si>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</si>
  <si>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</si>
  <si>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</si>
  <si>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</si>
  <si>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</si>
  <si>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</si>
  <si>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</si>
  <si>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</si>
  <si>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</si>
  <si>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</si>
  <si>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</si>
  <si>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</si>
  <si>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</si>
  <si>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</si>
  <si>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</si>
  <si>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</si>
  <si>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</si>
  <si>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</si>
  <si>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</si>
  <si>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</si>
  <si>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</si>
  <si>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</si>
  <si>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</si>
  <si>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</si>
  <si>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</si>
  <si>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</si>
  <si>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</si>
  <si>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</si>
  <si>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</si>
  <si>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</si>
  <si>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</si>
  <si>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</si>
  <si>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</si>
  <si>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</si>
  <si>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</si>
  <si>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</si>
  <si>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</si>
  <si>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</si>
  <si>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</si>
  <si>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</si>
  <si>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</si>
  <si>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</si>
  <si>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</si>
  <si>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</si>
  <si>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</si>
  <si>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</si>
  <si>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</si>
  <si>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</si>
  <si>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</si>
  <si>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</si>
  <si>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</si>
  <si>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</si>
  <si>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</si>
  <si>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</si>
  <si>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</si>
  <si>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</si>
  <si>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</si>
  <si>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</si>
  <si>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</si>
  <si>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</si>
  <si>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</si>
  <si>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</si>
  <si>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</si>
  <si>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</si>
  <si>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</si>
  <si>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</si>
  <si>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</si>
  <si>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</si>
  <si>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</si>
  <si>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</si>
  <si>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</si>
  <si>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</si>
  <si>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</si>
  <si>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</si>
  <si>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</si>
  <si>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</si>
  <si>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</si>
  <si>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</si>
  <si>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</si>
  <si>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</si>
  <si>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</si>
  <si>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</si>
  <si>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</si>
  <si>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</si>
  <si>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</si>
  <si>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</si>
  <si>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</si>
  <si>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</si>
  <si>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</si>
  <si>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</si>
  <si>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</si>
  <si>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</si>
  <si>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</si>
  <si>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</si>
  <si>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</si>
  <si>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</si>
  <si>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</si>
  <si>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</si>
  <si>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</si>
  <si>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</si>
  <si>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</si>
  <si>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</si>
  <si>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</si>
  <si>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</si>
  <si>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</si>
  <si>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</si>
  <si>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</si>
  <si>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</si>
  <si>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</si>
  <si>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</si>
  <si>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</si>
  <si>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</si>
  <si>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</si>
  <si>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</si>
  <si>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</si>
  <si>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</si>
  <si>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</si>
  <si>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</si>
  <si>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</si>
  <si>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</si>
  <si>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</si>
  <si>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</si>
  <si>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</si>
  <si>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</si>
  <si>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</si>
  <si>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</si>
  <si>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</si>
  <si>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</si>
  <si>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</si>
  <si>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</si>
  <si>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</si>
  <si>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</si>
  <si>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</si>
  <si>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</si>
  <si>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</si>
  <si>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</si>
  <si>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</si>
  <si>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</si>
  <si>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</si>
  <si>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</si>
  <si>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</si>
  <si>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</si>
  <si>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</si>
  <si>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</si>
  <si>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</si>
  <si>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</si>
  <si>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</si>
  <si>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</si>
  <si>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</si>
  <si>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</si>
  <si>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</si>
  <si>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</si>
  <si>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</si>
  <si>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</si>
  <si>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</si>
  <si>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</si>
  <si>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</si>
  <si>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</si>
  <si>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</si>
  <si>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</si>
  <si>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</si>
  <si>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</si>
  <si>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</si>
  <si>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</si>
  <si>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</si>
  <si>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</si>
  <si>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</si>
  <si>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</si>
  <si>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</si>
  <si>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</si>
  <si>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</si>
  <si>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</si>
  <si>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</si>
  <si>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</si>
  <si>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</si>
  <si>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</si>
  <si>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</si>
  <si>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</si>
  <si>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</si>
  <si>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</si>
  <si>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</si>
  <si>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</si>
  <si>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</si>
  <si>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</si>
  <si>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</si>
  <si>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</si>
  <si>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</si>
  <si>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</si>
  <si>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</si>
  <si>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</si>
  <si>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</si>
  <si>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</si>
  <si>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</si>
  <si>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</si>
  <si>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</si>
  <si>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</si>
  <si>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</si>
  <si>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</si>
  <si>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</si>
  <si>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</si>
  <si>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</si>
  <si>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</si>
  <si>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</si>
  <si>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</si>
  <si>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</si>
  <si>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</si>
  <si>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</si>
  <si>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</si>
  <si>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</si>
  <si>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</si>
  <si>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</si>
  <si>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</si>
  <si>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</si>
  <si>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</si>
  <si>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</si>
  <si>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</si>
  <si>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</si>
  <si>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</si>
  <si>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</si>
  <si>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</si>
  <si>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</si>
  <si>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</si>
  <si>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</si>
  <si>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</si>
  <si>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</si>
  <si>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</si>
  <si>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</si>
  <si>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</si>
  <si>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</si>
  <si>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</si>
  <si>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</si>
  <si>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</si>
  <si>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</si>
  <si>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</si>
  <si>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</si>
  <si>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</si>
  <si>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</si>
  <si>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</si>
  <si>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</si>
  <si>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</si>
  <si>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</si>
  <si>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</si>
  <si>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</si>
  <si>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</si>
  <si>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</si>
  <si>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</si>
  <si>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</si>
  <si>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</si>
  <si>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</si>
  <si>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</si>
  <si>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</si>
  <si>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</si>
  <si>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</si>
  <si>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</si>
  <si>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</si>
  <si>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</si>
  <si>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</si>
  <si>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</si>
  <si>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</si>
  <si>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</si>
  <si>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</si>
  <si>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</si>
  <si>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</si>
  <si>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</si>
  <si>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</si>
  <si>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</si>
  <si>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</si>
  <si>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</si>
  <si>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</si>
  <si>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</si>
  <si>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</si>
  <si>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</si>
  <si>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</si>
  <si>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</si>
  <si>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</si>
  <si>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</si>
  <si>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</si>
  <si>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</si>
  <si>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</si>
  <si>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</si>
  <si>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</si>
  <si>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</si>
  <si>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</si>
  <si>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</si>
  <si>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</si>
  <si>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</si>
  <si>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</si>
  <si>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</si>
  <si>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</si>
  <si>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</si>
  <si>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</si>
  <si>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</si>
  <si>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</si>
  <si>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</si>
  <si>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</si>
  <si>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</si>
  <si>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</si>
  <si>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</si>
  <si>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</si>
  <si>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</si>
  <si>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</si>
  <si>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</si>
  <si>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</si>
  <si>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</si>
  <si>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</si>
  <si>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</si>
  <si>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</si>
  <si>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</si>
  <si>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</si>
  <si>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</si>
  <si>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</si>
  <si>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</si>
  <si>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</si>
  <si>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</si>
  <si>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</si>
  <si>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</si>
  <si>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</si>
  <si>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</si>
  <si>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</si>
  <si>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</si>
  <si>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</si>
  <si>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</si>
  <si>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</si>
  <si>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</si>
  <si>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</si>
  <si>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</si>
  <si>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</si>
  <si>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</si>
  <si>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</si>
  <si>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</si>
  <si>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</si>
  <si>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</si>
  <si>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</si>
  <si>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</si>
  <si>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</si>
  <si>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</si>
  <si>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</si>
  <si>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</si>
  <si>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</si>
  <si>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</si>
  <si>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</si>
  <si>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</si>
  <si>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</si>
  <si>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</si>
  <si>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</si>
  <si>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</si>
  <si>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</si>
  <si>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</si>
  <si>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</si>
  <si>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</si>
  <si>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</si>
  <si>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</si>
  <si>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</si>
  <si>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</si>
  <si>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</si>
  <si>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</si>
  <si>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</si>
  <si>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</si>
  <si>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</si>
  <si>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</si>
  <si>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</si>
  <si>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</si>
  <si>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</si>
  <si>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</si>
  <si>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</si>
  <si>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</si>
  <si>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</si>
  <si>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</si>
  <si>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</si>
  <si>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</si>
  <si>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</si>
  <si>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</si>
  <si>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</si>
  <si>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</si>
  <si>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</si>
  <si>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</si>
  <si>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</si>
  <si>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</si>
  <si>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</si>
  <si>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</si>
  <si>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</si>
  <si>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</si>
  <si>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</si>
  <si>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</si>
  <si>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</si>
  <si>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</si>
  <si>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</si>
  <si>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</si>
  <si>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</si>
  <si>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</si>
  <si>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</si>
  <si>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</si>
  <si>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</si>
  <si>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</si>
  <si>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</si>
  <si>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</si>
  <si>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</si>
  <si>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</si>
  <si>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</si>
  <si>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</si>
  <si>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</si>
  <si>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</si>
  <si>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</si>
  <si>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</si>
  <si>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</si>
  <si>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</si>
  <si>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</si>
  <si>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</si>
  <si>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</si>
  <si>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</si>
  <si>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</si>
  <si>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</si>
  <si>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</si>
  <si>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</si>
  <si>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</si>
  <si>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</si>
  <si>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</si>
  <si>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</si>
  <si>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</si>
  <si>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</si>
  <si>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</si>
  <si>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</si>
  <si>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</si>
  <si>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</si>
  <si>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</si>
  <si>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</si>
  <si>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</si>
  <si>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</si>
  <si>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</si>
  <si>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</si>
  <si>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</si>
  <si>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</si>
  <si>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</si>
  <si>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</si>
  <si>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</si>
  <si>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</si>
  <si>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</si>
  <si>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</si>
  <si>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</si>
  <si>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</si>
  <si>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</si>
  <si>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</si>
  <si>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</si>
  <si>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</si>
  <si>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</si>
  <si>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</si>
  <si>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</si>
  <si>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</si>
  <si>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</si>
  <si>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</si>
  <si>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</si>
  <si>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</si>
  <si>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</si>
  <si>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</si>
  <si>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</si>
  <si>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</si>
  <si>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</si>
  <si>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</si>
  <si>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</si>
  <si>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</si>
  <si>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</si>
  <si>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</si>
  <si>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</si>
  <si>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</si>
  <si>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</si>
  <si>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</si>
  <si>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</si>
  <si>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</si>
  <si>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</si>
  <si>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</si>
  <si>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</si>
  <si>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</si>
  <si>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</si>
  <si>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</si>
  <si>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</si>
  <si>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</si>
  <si>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</si>
  <si>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</si>
  <si>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</si>
  <si>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</si>
  <si>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</si>
  <si>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</si>
  <si>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</si>
  <si>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</si>
  <si>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</si>
  <si>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</si>
  <si>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</si>
  <si>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</si>
  <si>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</si>
  <si>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</si>
  <si>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</si>
  <si>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</si>
  <si>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</si>
  <si>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</si>
  <si>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</si>
  <si>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</si>
  <si>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</si>
  <si>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</si>
  <si>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</si>
  <si>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</si>
  <si>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</si>
  <si>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</si>
  <si>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</si>
  <si>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</si>
  <si>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</si>
  <si>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</si>
  <si>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</si>
  <si>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</si>
  <si>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</si>
  <si>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</si>
  <si>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</si>
  <si>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</si>
  <si>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</si>
  <si>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</si>
  <si>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</si>
  <si>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</si>
  <si>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</si>
  <si>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</si>
  <si>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</si>
  <si>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</si>
  <si>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</si>
  <si>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</si>
  <si>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</si>
  <si>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</si>
  <si>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</si>
  <si>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</si>
  <si>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</si>
  <si>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</si>
  <si>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</si>
  <si>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</si>
  <si>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</si>
  <si>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</si>
  <si>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</si>
  <si>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</si>
  <si>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</si>
  <si>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</si>
  <si>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</si>
  <si>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</si>
  <si>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</si>
  <si>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</si>
  <si>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</si>
  <si>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</si>
  <si>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</si>
  <si>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</si>
  <si>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</si>
  <si>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</si>
  <si>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</si>
  <si>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</si>
  <si>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</si>
  <si>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</si>
  <si>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</si>
  <si>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</si>
  <si>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</si>
  <si>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</si>
  <si>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</si>
  <si>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</si>
  <si>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</si>
  <si>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</si>
  <si>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</si>
  <si>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</si>
  <si>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</si>
  <si>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</si>
  <si>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</si>
  <si>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</si>
  <si>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</si>
  <si>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</si>
  <si>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</si>
  <si>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</si>
  <si>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</si>
  <si>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</si>
  <si>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</si>
  <si>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</si>
  <si>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</si>
  <si>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</si>
  <si>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</si>
  <si>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</si>
  <si>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</si>
  <si>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</si>
  <si>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</si>
  <si>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</si>
  <si>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</si>
  <si>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</si>
  <si>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</si>
  <si>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</si>
  <si>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</si>
  <si>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</si>
  <si>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</si>
  <si>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</si>
  <si>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</si>
  <si>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</si>
  <si>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</si>
  <si>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</si>
  <si>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</si>
  <si>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</si>
  <si>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</si>
  <si>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</si>
  <si>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</si>
  <si>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</si>
  <si>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</si>
  <si>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</si>
  <si>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</si>
  <si>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</si>
  <si>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</si>
  <si>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</si>
  <si>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</si>
  <si>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</si>
  <si>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</si>
  <si>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</si>
  <si>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</si>
  <si>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</si>
  <si>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</si>
  <si>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</si>
  <si>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</si>
  <si>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</si>
  <si>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</si>
  <si>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</si>
  <si>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</si>
  <si>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</si>
  <si>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</si>
  <si>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</si>
  <si>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</si>
  <si>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</si>
  <si>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</si>
  <si>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</si>
  <si>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</si>
  <si>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</si>
  <si>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</si>
  <si>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</si>
  <si>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</si>
  <si>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</si>
  <si>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</si>
  <si>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</si>
  <si>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</si>
  <si>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</si>
  <si>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</si>
  <si>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</si>
  <si>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</si>
  <si>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</si>
  <si>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</si>
  <si>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</si>
  <si>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</si>
  <si>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</si>
  <si>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</si>
  <si>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</si>
  <si>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</si>
  <si>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</si>
  <si>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</si>
  <si>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</si>
  <si>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</si>
  <si>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</si>
  <si>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</si>
  <si>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</si>
  <si>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</si>
  <si>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</si>
  <si>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</si>
  <si>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</si>
  <si>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</si>
  <si>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</si>
  <si>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</si>
  <si>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</si>
  <si>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</si>
  <si>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</si>
  <si>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</si>
  <si>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</si>
  <si>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</si>
  <si>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</si>
  <si>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</si>
  <si>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</si>
  <si>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</si>
  <si>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</si>
  <si>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</si>
  <si>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</si>
  <si>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</si>
  <si>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</si>
  <si>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</si>
  <si>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</si>
  <si>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</si>
  <si>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</si>
  <si>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</si>
  <si>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</si>
  <si>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</si>
  <si>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</si>
  <si>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</si>
  <si>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</si>
  <si>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</si>
  <si>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</si>
  <si>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</si>
  <si>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</si>
  <si>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</si>
  <si>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</si>
  <si>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</si>
  <si>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</si>
  <si>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</si>
  <si>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</si>
  <si>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</si>
  <si>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</si>
  <si>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</si>
  <si>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</si>
  <si>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</si>
  <si>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</si>
  <si>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</si>
  <si>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</si>
  <si>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</si>
  <si>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</si>
  <si>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</si>
  <si>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</si>
  <si>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</si>
  <si>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</si>
  <si>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</si>
  <si>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</si>
  <si>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</si>
  <si>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</si>
  <si>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</si>
  <si>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</si>
  <si>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</si>
  <si>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</si>
  <si>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</si>
  <si>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</si>
  <si>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</si>
  <si>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</si>
  <si>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</si>
  <si>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</si>
  <si>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</si>
  <si>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</si>
  <si>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</si>
  <si>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</si>
  <si>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</si>
  <si>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</si>
  <si>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</si>
  <si>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</si>
  <si>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</si>
  <si>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</si>
  <si>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</si>
  <si>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</si>
  <si>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</si>
  <si>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</si>
  <si>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</si>
  <si>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</si>
  <si>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</si>
  <si>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</si>
  <si>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</si>
  <si>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</si>
  <si>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</si>
  <si>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</si>
  <si>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</si>
  <si>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</si>
  <si>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</si>
  <si>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</si>
  <si>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</si>
  <si>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</si>
  <si>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</si>
  <si>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</si>
  <si>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</si>
  <si>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</si>
  <si>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</si>
  <si>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</si>
  <si>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</si>
  <si>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</si>
  <si>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</si>
  <si>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</si>
  <si>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</si>
  <si>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</si>
  <si>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</si>
  <si>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</si>
  <si>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</si>
  <si>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</si>
  <si>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</si>
  <si>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</si>
  <si>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</si>
  <si>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</si>
  <si>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</si>
  <si>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</si>
  <si>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</si>
  <si>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</si>
  <si>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</si>
  <si>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</si>
  <si>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</si>
  <si>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</si>
  <si>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</si>
  <si>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</si>
  <si>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</si>
  <si>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</si>
  <si>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</si>
  <si>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</si>
  <si>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</si>
  <si>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</si>
  <si>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</si>
  <si>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</si>
  <si>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</si>
  <si>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</si>
  <si>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</si>
  <si>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</si>
  <si>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</si>
  <si>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</si>
  <si>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</si>
  <si>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</si>
  <si>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</si>
  <si>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</si>
  <si>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</si>
  <si>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</si>
  <si>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</si>
  <si>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</si>
  <si>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</si>
  <si>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</si>
  <si>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</si>
  <si>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</si>
  <si>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</si>
  <si>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</si>
  <si>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</si>
  <si>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</si>
  <si>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</si>
  <si>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</si>
  <si>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</si>
  <si>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</si>
  <si>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</si>
  <si>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</si>
  <si>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</si>
  <si>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</si>
  <si>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</si>
  <si>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</si>
  <si>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</si>
  <si>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</si>
  <si>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</si>
  <si>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</si>
  <si>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</si>
  <si>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</si>
  <si>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</si>
  <si>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</si>
  <si>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</si>
  <si>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</si>
  <si>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</si>
  <si>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</si>
  <si>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</si>
  <si>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</si>
  <si>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</si>
  <si>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</si>
  <si>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</si>
  <si>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</si>
  <si>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</si>
  <si>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</si>
  <si>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</si>
  <si>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</si>
  <si>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</si>
  <si>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</si>
  <si>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</si>
  <si>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</si>
  <si>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</si>
  <si>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</si>
  <si>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</si>
  <si>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</si>
  <si>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</si>
  <si>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</si>
  <si>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</si>
  <si>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</si>
  <si>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</si>
  <si>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</si>
  <si>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</si>
  <si>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</si>
  <si>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</si>
  <si>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</si>
  <si>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</si>
  <si>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</si>
  <si>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</si>
  <si>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</si>
  <si>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</si>
  <si>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</si>
  <si>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</si>
  <si>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</si>
  <si>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</si>
  <si>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</si>
  <si>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</si>
  <si>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</si>
  <si>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</si>
  <si>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</si>
  <si>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</si>
  <si>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</si>
  <si>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</si>
  <si>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</si>
  <si>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</si>
  <si>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</si>
  <si>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</si>
  <si>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</si>
  <si>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</si>
  <si>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</si>
  <si>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</si>
  <si>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</si>
  <si>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</si>
  <si>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</si>
  <si>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</si>
  <si>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</si>
  <si>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</si>
  <si>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</si>
  <si>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</si>
  <si>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</si>
  <si>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</si>
  <si>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</si>
  <si>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</si>
  <si>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</si>
  <si>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</si>
  <si>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</si>
  <si>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</si>
  <si>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</si>
  <si>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</si>
  <si>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</si>
  <si>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</si>
  <si>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</si>
  <si>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</si>
  <si>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</si>
  <si>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</si>
  <si>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</si>
  <si>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</si>
  <si>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</si>
  <si>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</si>
  <si>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</si>
  <si>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</si>
  <si>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</si>
  <si>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</si>
  <si>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</si>
  <si>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</si>
  <si>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</si>
  <si>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</si>
  <si>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</si>
  <si>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</si>
  <si>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</si>
  <si>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</si>
  <si>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</si>
  <si>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</si>
  <si>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</si>
  <si>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</si>
  <si>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</si>
  <si>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</si>
  <si>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</si>
  <si>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</si>
  <si>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</si>
  <si>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</si>
  <si>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</si>
  <si>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</si>
  <si>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</si>
  <si>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</si>
  <si>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</si>
  <si>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</si>
  <si>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</si>
  <si>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</si>
  <si>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</si>
  <si>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</si>
  <si>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</si>
  <si>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</si>
  <si>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</si>
  <si>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</si>
  <si>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</si>
  <si>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</si>
  <si>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</si>
  <si>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</si>
  <si>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</si>
  <si>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</si>
  <si>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</si>
  <si>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</si>
  <si>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</si>
  <si>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</si>
  <si>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</si>
  <si>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</si>
  <si>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</si>
  <si>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</si>
  <si>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</si>
  <si>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</si>
  <si>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</si>
  <si>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</si>
  <si>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</si>
  <si>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</si>
  <si>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</si>
  <si>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</si>
  <si>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</si>
  <si>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</si>
  <si>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</si>
  <si>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</si>
  <si>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</si>
  <si>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</si>
  <si>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</si>
  <si>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</si>
  <si>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</si>
  <si>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</si>
  <si>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</si>
  <si>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</si>
  <si>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</si>
  <si>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</si>
  <si>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</si>
  <si>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</si>
  <si>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</si>
  <si>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</si>
  <si>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</si>
  <si>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</si>
  <si>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</si>
  <si>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</si>
  <si>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</si>
  <si>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</si>
  <si>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</si>
  <si>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</si>
  <si>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</si>
  <si>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</si>
  <si>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</si>
  <si>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</si>
  <si>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</si>
  <si>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</si>
  <si>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</si>
  <si>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</si>
  <si>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</si>
  <si>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</si>
  <si>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</si>
  <si>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</si>
  <si>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</si>
  <si>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</si>
  <si>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</si>
  <si>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</si>
  <si>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</si>
  <si>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</si>
  <si>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</si>
  <si>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</si>
  <si>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</si>
  <si>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</si>
  <si>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</si>
  <si>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</si>
  <si>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</si>
  <si>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</si>
  <si>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</si>
  <si>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</si>
  <si>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</si>
  <si>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</si>
  <si>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</si>
  <si>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</si>
  <si>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</si>
  <si>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</si>
  <si>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</si>
  <si>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</si>
  <si>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</si>
  <si>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</si>
  <si>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</si>
  <si>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</si>
  <si>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</si>
  <si>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</si>
  <si>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</si>
  <si>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</si>
  <si>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</si>
  <si>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</si>
  <si>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</si>
  <si>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</si>
  <si>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</si>
  <si>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</si>
  <si>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</si>
  <si>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</si>
  <si>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</si>
  <si>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</si>
  <si>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</si>
  <si>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</si>
  <si>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</si>
  <si>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</si>
  <si>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</si>
  <si>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</si>
  <si>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</si>
  <si>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</si>
  <si>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</si>
  <si>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</si>
  <si>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</si>
  <si>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</si>
  <si>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</si>
  <si>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</si>
  <si>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</si>
  <si>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</si>
  <si>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</si>
  <si>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</si>
  <si>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</si>
  <si>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</si>
  <si>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</si>
  <si>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</si>
  <si>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</si>
  <si>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</si>
  <si>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</si>
  <si>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</si>
  <si>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</si>
  <si>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</si>
  <si>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</si>
  <si>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</si>
  <si>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</si>
  <si>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</si>
  <si>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</si>
  <si>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</si>
  <si>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</si>
  <si>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</si>
  <si>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</si>
  <si>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</si>
  <si>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</si>
  <si>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</si>
  <si>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</si>
  <si>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</si>
  <si>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</si>
  <si>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</si>
  <si>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</si>
  <si>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</si>
  <si>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</si>
  <si>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</si>
  <si>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</si>
  <si>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</si>
  <si>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</si>
  <si>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</si>
  <si>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</si>
  <si>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</si>
  <si>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</si>
  <si>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</si>
  <si>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</si>
  <si>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</si>
  <si>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</si>
  <si>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</si>
  <si>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</si>
  <si>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</si>
  <si>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</si>
  <si>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</si>
  <si>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</si>
  <si>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Aurélia Marquis Samuel Charpenteau </t>
  </si>
  <si>
    <t xml:space="preserve">conforme AFNOR T90-395 oct. 2003</t>
  </si>
  <si>
    <t xml:space="preserve">Meyne</t>
  </si>
  <si>
    <t xml:space="preserve">Orange</t>
  </si>
  <si>
    <t xml:space="preserve">06118000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</si>
  <si>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</si>
  <si>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</si>
  <si>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</si>
  <si>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</si>
  <si>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</si>
  <si>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</si>
  <si>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</si>
  <si>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</si>
  <si>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ch. lentique</t>
  </si>
  <si>
    <t xml:space="preserve">niv. trophique:</t>
  </si>
  <si>
    <t xml:space="preserve">très élevé</t>
  </si>
  <si>
    <t xml:space="preserve">(très élevé)</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</si>
  <si>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</si>
  <si>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</si>
  <si>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</si>
  <si>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</si>
  <si>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</si>
  <si>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</si>
  <si>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</si>
  <si>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</si>
  <si>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</si>
  <si>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</si>
  <si>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</si>
  <si>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</si>
  <si>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</si>
  <si>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</si>
  <si>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</si>
  <si>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</si>
  <si>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</si>
  <si>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</si>
  <si>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</si>
  <si>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</si>
  <si>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</si>
  <si>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</si>
  <si>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</si>
  <si>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</si>
  <si>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</si>
  <si>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</si>
  <si>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</si>
  <si>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</si>
  <si>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</si>
  <si>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</si>
  <si>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</si>
  <si>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</si>
  <si>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</si>
  <si>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</si>
  <si>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</si>
  <si>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</si>
  <si>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</si>
  <si>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(93,355 %)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</si>
  <si>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</si>
  <si>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</si>
  <si>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</si>
  <si>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</si>
  <si>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</si>
  <si>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</si>
  <si>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</si>
  <si>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</si>
  <si>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</si>
  <si>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</si>
  <si>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</si>
  <si>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</si>
  <si>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</si>
  <si>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</si>
  <si>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</si>
  <si>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</si>
  <si>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</si>
  <si>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</si>
  <si>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</si>
  <si>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</si>
  <si>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Equisetum ramosissimum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</si>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</sst>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6" borderId="58" xfId="0" applyFont="true" applyBorder="true" applyAlignment="true" applyProtection="true">
      <alignment horizontal="left" vertical="top" textRotation="0" wrapText="false" indent="0" shrinkToFit="false"/>
      <protection locked="true" hidden="true"/>
    </xf>
    <xf numFmtId="172" fontId="20" fillId="6"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6"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41871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7.1</v>
      </c>
      <c r="M5" s="323"/>
      <c r="N5" s="324" t="s">
        <v>2002</v>
      </c>
      <c r="O5" s="325" t="n">
        <v>6.76470588235294</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7.4</v>
      </c>
      <c r="O8" s="354" t="n">
        <f aca="false">IF(ISERROR(AVERAGE(J23:J82)),"      -",AVERAGE(J23:J82))</f>
        <v>1.33333333333333</v>
      </c>
      <c r="P8" s="355"/>
      <c r="Q8" s="280"/>
      <c r="R8" s="280"/>
      <c r="S8" s="280"/>
      <c r="T8" s="280"/>
      <c r="U8" s="280"/>
      <c r="V8" s="280"/>
      <c r="W8" s="292"/>
      <c r="X8" s="293"/>
    </row>
    <row r="9" customFormat="false" ht="13.5" hidden="false" customHeight="false" outlineLevel="0" collapsed="false">
      <c r="A9" s="313" t="s">
        <v>2634</v>
      </c>
      <c r="B9" s="356" t="n">
        <v>93.35</v>
      </c>
      <c r="C9" s="357"/>
      <c r="D9" s="358"/>
      <c r="E9" s="358"/>
      <c r="F9" s="359" t="n">
        <f aca="false">($B9*$B$7+$C9*$C$7)/100</f>
        <v>93.35</v>
      </c>
      <c r="G9" s="360"/>
      <c r="H9" s="361"/>
      <c r="I9" s="362"/>
      <c r="J9" s="363"/>
      <c r="K9" s="343"/>
      <c r="L9" s="364"/>
      <c r="M9" s="353" t="s">
        <v>2635</v>
      </c>
      <c r="N9" s="354" t="n">
        <f aca="false">IF(ISERROR(STDEVP(I23:I82)),"     -",STDEVP(I23:I82))</f>
        <v>3.75588427226754</v>
      </c>
      <c r="O9" s="354" t="n">
        <f aca="false">IF(ISERROR(STDEVP(J23:J82)),"      -",STDEVP(J23:J82))</f>
        <v>0.699205898780101</v>
      </c>
      <c r="P9" s="355"/>
      <c r="Q9" s="280"/>
      <c r="R9" s="280"/>
      <c r="S9" s="280"/>
      <c r="T9" s="280"/>
      <c r="U9" s="280"/>
      <c r="V9" s="280"/>
      <c r="W9" s="365"/>
      <c r="X9" s="366"/>
    </row>
    <row r="10" customFormat="false" ht="13.5"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11</v>
      </c>
      <c r="O11" s="376" t="n">
        <f aca="false">MAX(J23:J82)</f>
        <v>2</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2</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16</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15</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13</v>
      </c>
      <c r="L15" s="386"/>
      <c r="M15" s="407" t="s">
        <v>2653</v>
      </c>
      <c r="N15" s="408" t="n">
        <f aca="false">COUNTIF(J23:J82,"=1")</f>
        <v>6</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7</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93.355</v>
      </c>
      <c r="C20" s="436" t="n">
        <f aca="false">SUM(C23:C82)</f>
        <v>0</v>
      </c>
      <c r="D20" s="437"/>
      <c r="E20" s="438" t="s">
        <v>2659</v>
      </c>
      <c r="F20" s="439" t="n">
        <f aca="false">($B20*$B$7+$C20*$C$7)/100</f>
        <v>93.355</v>
      </c>
      <c r="G20" s="440"/>
      <c r="H20" s="441"/>
      <c r="I20" s="442"/>
      <c r="J20" s="442"/>
      <c r="K20" s="443"/>
      <c r="L20" s="317"/>
      <c r="M20" s="444"/>
      <c r="N20" s="444"/>
      <c r="O20" s="445"/>
      <c r="P20" s="446"/>
      <c r="Q20" s="447" t="s">
        <v>2661</v>
      </c>
      <c r="R20" s="280"/>
      <c r="S20" s="280"/>
      <c r="T20" s="280"/>
      <c r="U20" s="280"/>
      <c r="V20" s="280"/>
      <c r="W20" s="420" t="s">
        <v>2662</v>
      </c>
    </row>
    <row r="21" customFormat="false" ht="12.75" hidden="false" customHeight="false" outlineLevel="0" collapsed="false">
      <c r="A21" s="448" t="s">
        <v>2663</v>
      </c>
      <c r="B21" s="449" t="n">
        <f aca="false">B20*B7/100</f>
        <v>93.355</v>
      </c>
      <c r="C21" s="449" t="n">
        <f aca="false">C20*C7/100</f>
        <v>0</v>
      </c>
      <c r="D21" s="381" t="str">
        <f aca="false">IF(F21=0,"",IF((ABS(F21-F19))&gt;(0.2*F21),CONCATENATE(" rec. par taxa (",F21," %) supérieur à 20 % !"),""))</f>
        <v> rec. par taxa (93,355 %) supérieur à 20 % !</v>
      </c>
      <c r="E21" s="450" t="str">
        <f aca="false">IF(F21=0,"",IF((ABS(F21-F19))&gt;(0.2*F21),CONCATENATE("ATTENTION : écart entre rec. par grp (",F19," %) ","et",""),""))</f>
        <v>ATTENTION : écart entre rec. par grp (0 %) et</v>
      </c>
      <c r="F21" s="451" t="n">
        <f aca="false">B21+C21</f>
        <v>93.355</v>
      </c>
      <c r="G21" s="452"/>
      <c r="H21" s="381"/>
      <c r="I21" s="453"/>
      <c r="J21" s="453"/>
      <c r="K21" s="454"/>
      <c r="L21" s="454"/>
      <c r="M21" s="455"/>
      <c r="N21" s="455"/>
      <c r="O21" s="456"/>
      <c r="P21" s="457"/>
      <c r="Q21" s="458" t="s">
        <v>2664</v>
      </c>
      <c r="R21" s="280"/>
      <c r="S21" s="280"/>
      <c r="T21" s="280"/>
      <c r="U21" s="280"/>
      <c r="V21" s="280"/>
      <c r="W21" s="420" t="s">
        <v>2665</v>
      </c>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t="s">
        <v>122</v>
      </c>
      <c r="B23" s="475" t="n">
        <v>0.04</v>
      </c>
      <c r="C23" s="476"/>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0.04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0.04</v>
      </c>
      <c r="R23" s="487" t="n">
        <f aca="false">IF(OR(ISTEXT(H23),Q23=0),"",IF(Q23&lt;0.1,1,IF(Q23&lt;1,2,IF(Q23&lt;10,3,IF(Q23&lt;50,4,IF(Q23&gt;=50,5,""))))))</f>
        <v>1</v>
      </c>
      <c r="S23" s="487" t="n">
        <f aca="false">IF(ISERROR(R23*I23),0,R23*I23)</f>
        <v>6</v>
      </c>
      <c r="T23" s="487" t="n">
        <f aca="false">IF(ISERROR(R23*I23*J23),0,R23*I23*J23)</f>
        <v>6</v>
      </c>
      <c r="U23" s="487" t="n">
        <f aca="false">IF(ISERROR(R23*J23),0,R23*J23)</f>
        <v>1</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223</v>
      </c>
      <c r="B24" s="494" t="n">
        <v>0.04</v>
      </c>
      <c r="C24" s="495"/>
      <c r="D24" s="477" t="str">
        <f aca="false">IF(ISERROR(VLOOKUP($A24,'liste reference'!$A$7:$D$904,2,0)),IF(ISERROR(VLOOKUP($A24,'liste reference'!$B$7:$D$904,1,0)),"",VLOOKUP($A24,'liste reference'!$B$7:$D$904,1,0)),VLOOKUP($A24,'liste reference'!$A$7:$D$904,2,0))</f>
        <v>Oedogonium sp.</v>
      </c>
      <c r="E24" s="496" t="e">
        <f aca="false">IF(D24="",0,VLOOKUP(D24,D$22:D23,1,0))</f>
        <v>#N/A</v>
      </c>
      <c r="F24" s="497" t="n">
        <f aca="false">($B24*$B$7+$C24*$C$7)/100</f>
        <v>0.04</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Oedogonium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1134</v>
      </c>
      <c r="Q24" s="486" t="n">
        <f aca="false">IF(ISTEXT(H24),"",(B24*$B$7/100)+(C24*$C$7/100))</f>
        <v>0.04</v>
      </c>
      <c r="R24" s="487" t="n">
        <f aca="false">IF(OR(ISTEXT(H24),Q24=0),"",IF(Q24&lt;0.1,1,IF(Q24&lt;1,2,IF(Q24&lt;10,3,IF(Q24&lt;50,4,IF(Q24&gt;=50,5,""))))))</f>
        <v>1</v>
      </c>
      <c r="S24" s="487" t="n">
        <f aca="false">IF(ISERROR(R24*I24),0,R24*I24)</f>
        <v>6</v>
      </c>
      <c r="T24" s="487" t="n">
        <f aca="false">IF(ISERROR(R24*I24*J24),0,R24*I24*J24)</f>
        <v>12</v>
      </c>
      <c r="U24" s="499" t="n">
        <f aca="false">IF(ISERROR(R24*J24),0,R24*J24)</f>
        <v>2</v>
      </c>
      <c r="V24" s="488" t="str">
        <f aca="false">IF(AND(A24="",F24=0),"",IF(F24=0,"Il manque le(s) % de rec. !",""))</f>
        <v/>
      </c>
      <c r="W24" s="489"/>
      <c r="Y24" s="490" t="str">
        <f aca="false">IF(A24="new.cod","NEWCOD",IF(AND((Z24=""),ISTEXT(A24)),A24,IF(Z24="","",INDEX('liste reference'!$A$8:$A$904,Z24))))</f>
        <v>OEDSPX</v>
      </c>
      <c r="Z24" s="280" t="n">
        <f aca="false">IF(ISERROR(MATCH(A24,'liste reference'!$A$8:$A$904,0)),IF(ISERROR(MATCH(A24,'liste reference'!$B$8:$B$904,0)),"",(MATCH(A24,'liste reference'!$B$8:$B$904,0))),(MATCH(A24,'liste reference'!$A$8:$A$904,0)))</f>
        <v>55</v>
      </c>
      <c r="AA24" s="491"/>
      <c r="AB24" s="492"/>
      <c r="AC24" s="492"/>
      <c r="BB24" s="280" t="n">
        <f aca="false">IF(A24="","",1)</f>
        <v>1</v>
      </c>
    </row>
    <row r="25" customFormat="false" ht="12.75" hidden="false" customHeight="false" outlineLevel="0" collapsed="false">
      <c r="A25" s="493" t="s">
        <v>1300</v>
      </c>
      <c r="B25" s="494" t="n">
        <v>0.01</v>
      </c>
      <c r="C25" s="495"/>
      <c r="D25" s="477" t="str">
        <f aca="false">IF(ISERROR(VLOOKUP($A25,'liste reference'!$A$7:$D$904,2,0)),IF(ISERROR(VLOOKUP($A25,'liste reference'!$B$7:$D$904,1,0)),"",VLOOKUP($A25,'liste reference'!$B$7:$D$904,1,0)),VLOOKUP($A25,'liste reference'!$A$7:$D$904,2,0))</f>
        <v>Elodea canadensis</v>
      </c>
      <c r="E25" s="496" t="e">
        <f aca="false">IF(D25="",0,VLOOKUP(D25,D$22:D24,1,0))</f>
        <v>#N/A</v>
      </c>
      <c r="F25" s="497" t="n">
        <f aca="false">($B25*$B$7+$C25*$C$7)/100</f>
        <v>0.01</v>
      </c>
      <c r="G25" s="479" t="str">
        <f aca="false">IF(A25="","",IF(ISERROR(VLOOKUP($A25,'liste reference'!$A$7:$P$904,13,0)),IF(ISERROR(VLOOKUP($A25,'liste reference'!$B$7:$P$904,12,0)),"    -",VLOOKUP($A25,'liste reference'!$B$7:$P$904,12,0)),VLOOKUP($A25,'liste reference'!$A$7:$P$904,13,0)))</f>
        <v>PHy</v>
      </c>
      <c r="H25" s="480" t="n">
        <f aca="false">IF(A25="","x",IF(ISERROR(VLOOKUP($A25,'liste reference'!$A$8:$P$904,14,0)),IF(ISERROR(VLOOKUP($A25,'liste reference'!$B$8:$P$904,13,0)),"x",VLOOKUP($A25,'liste reference'!$B$8:$P$904,13,0)),VLOOKUP($A25,'liste reference'!$A$8:$P$904,14,0)))</f>
        <v>7</v>
      </c>
      <c r="I25" s="481" t="n">
        <f aca="false">IF(ISNUMBER(H25),IF(ISERROR(VLOOKUP($A25,'liste reference'!$A$7:$P$904,3,0)),IF(ISERROR(VLOOKUP($A25,'liste reference'!$B$7:$P$904,2,0)),"",VLOOKUP($A25,'liste reference'!$B$7:$P$904,2,0)),VLOOKUP($A25,'liste reference'!$A$7:$P$904,3,0)),"")</f>
        <v>10</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Elodea canadensis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1586</v>
      </c>
      <c r="Q25" s="486" t="n">
        <f aca="false">IF(ISTEXT(H25),"",(B25*$B$7/100)+(C25*$C$7/100))</f>
        <v>0.01</v>
      </c>
      <c r="R25" s="487" t="n">
        <f aca="false">IF(OR(ISTEXT(H25),Q25=0),"",IF(Q25&lt;0.1,1,IF(Q25&lt;1,2,IF(Q25&lt;10,3,IF(Q25&lt;50,4,IF(Q25&gt;=50,5,""))))))</f>
        <v>1</v>
      </c>
      <c r="S25" s="487" t="n">
        <f aca="false">IF(ISERROR(R25*I25),0,R25*I25)</f>
        <v>10</v>
      </c>
      <c r="T25" s="487" t="n">
        <f aca="false">IF(ISERROR(R25*I25*J25),0,R25*I25*J25)</f>
        <v>20</v>
      </c>
      <c r="U25" s="499" t="n">
        <f aca="false">IF(ISERROR(R25*J25),0,R25*J25)</f>
        <v>2</v>
      </c>
      <c r="V25" s="488" t="str">
        <f aca="false">IF(AND(A25="",F25=0),"",IF(F25=0,"Il manque le(s) % de rec. !",""))</f>
        <v/>
      </c>
      <c r="W25" s="489"/>
      <c r="Y25" s="490" t="str">
        <f aca="false">IF(A25="new.cod","NEWCOD",IF(AND((Z25=""),ISTEXT(A25)),A25,IF(Z25="","",INDEX('liste reference'!$A$8:$A$904,Z25))))</f>
        <v>ELOCAN</v>
      </c>
      <c r="Z25" s="280" t="n">
        <f aca="false">IF(ISERROR(MATCH(A25,'liste reference'!$A$8:$A$904,0)),IF(ISERROR(MATCH(A25,'liste reference'!$B$8:$B$904,0)),"",(MATCH(A25,'liste reference'!$B$8:$B$904,0))),(MATCH(A25,'liste reference'!$A$8:$A$904,0)))</f>
        <v>341</v>
      </c>
      <c r="AA25" s="491"/>
      <c r="AB25" s="492"/>
      <c r="AC25" s="492"/>
      <c r="BB25" s="280" t="n">
        <f aca="false">IF(A25="","",1)</f>
        <v>1</v>
      </c>
    </row>
    <row r="26" customFormat="false" ht="12.75" hidden="false" customHeight="false" outlineLevel="0" collapsed="false">
      <c r="A26" s="493" t="s">
        <v>1310</v>
      </c>
      <c r="B26" s="494" t="n">
        <v>0.5</v>
      </c>
      <c r="C26" s="495"/>
      <c r="D26" s="477" t="str">
        <f aca="false">IF(ISERROR(VLOOKUP($A26,'liste reference'!$A$7:$D$904,2,0)),IF(ISERROR(VLOOKUP($A26,'liste reference'!$B$7:$D$904,1,0)),"",VLOOKUP($A26,'liste reference'!$B$7:$D$904,1,0)),VLOOKUP($A26,'liste reference'!$A$7:$D$904,2,0))</f>
        <v>Groenlandia densa</v>
      </c>
      <c r="E26" s="496" t="e">
        <f aca="false">IF(D26="",0,VLOOKUP(D26,D$22:D25,1,0))</f>
        <v>#N/A</v>
      </c>
      <c r="F26" s="497" t="n">
        <f aca="false">($B26*$B$7+$C26*$C$7)/100</f>
        <v>0.5</v>
      </c>
      <c r="G26" s="479" t="str">
        <f aca="false">IF(A26="","",IF(ISERROR(VLOOKUP($A26,'liste reference'!$A$7:$P$904,13,0)),IF(ISERROR(VLOOKUP($A26,'liste reference'!$B$7:$P$904,12,0)),"    -",VLOOKUP($A26,'liste reference'!$B$7:$P$904,12,0)),VLOOKUP($A26,'liste reference'!$A$7:$P$904,13,0)))</f>
        <v>PHy</v>
      </c>
      <c r="H26" s="480" t="n">
        <f aca="false">IF(A26="","x",IF(ISERROR(VLOOKUP($A26,'liste reference'!$A$8:$P$904,14,0)),IF(ISERROR(VLOOKUP($A26,'liste reference'!$B$8:$P$904,13,0)),"x",VLOOKUP($A26,'liste reference'!$B$8:$P$904,13,0)),VLOOKUP($A26,'liste reference'!$A$8:$P$904,14,0)))</f>
        <v>7</v>
      </c>
      <c r="I26" s="481" t="n">
        <f aca="false">IF(ISNUMBER(H26),IF(ISERROR(VLOOKUP($A26,'liste reference'!$A$7:$P$904,3,0)),IF(ISERROR(VLOOKUP($A26,'liste reference'!$B$7:$P$904,2,0)),"",VLOOKUP($A26,'liste reference'!$B$7:$P$904,2,0)),VLOOKUP($A26,'liste reference'!$A$7:$P$904,3,0)),"")</f>
        <v>11</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Groenlandia densa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1638</v>
      </c>
      <c r="Q26" s="486" t="n">
        <f aca="false">IF(ISTEXT(H26),"",(B26*$B$7/100)+(C26*$C$7/100))</f>
        <v>0.5</v>
      </c>
      <c r="R26" s="487" t="n">
        <f aca="false">IF(OR(ISTEXT(H26),Q26=0),"",IF(Q26&lt;0.1,1,IF(Q26&lt;1,2,IF(Q26&lt;10,3,IF(Q26&lt;50,4,IF(Q26&gt;=50,5,""))))))</f>
        <v>2</v>
      </c>
      <c r="S26" s="487" t="n">
        <f aca="false">IF(ISERROR(R26*I26),0,R26*I26)</f>
        <v>22</v>
      </c>
      <c r="T26" s="487" t="n">
        <f aca="false">IF(ISERROR(R26*I26*J26),0,R26*I26*J26)</f>
        <v>44</v>
      </c>
      <c r="U26" s="499" t="n">
        <f aca="false">IF(ISERROR(R26*J26),0,R26*J26)</f>
        <v>4</v>
      </c>
      <c r="V26" s="488" t="str">
        <f aca="false">IF(AND(A26="",F26=0),"",IF(F26=0,"Il manque le(s) % de rec. !",""))</f>
        <v/>
      </c>
      <c r="W26" s="489"/>
      <c r="Y26" s="490" t="str">
        <f aca="false">IF(A26="new.cod","NEWCOD",IF(AND((Z26=""),ISTEXT(A26)),A26,IF(Z26="","",INDEX('liste reference'!$A$8:$A$904,Z26))))</f>
        <v>GRODEN</v>
      </c>
      <c r="Z26" s="280" t="n">
        <f aca="false">IF(ISERROR(MATCH(A26,'liste reference'!$A$8:$A$904,0)),IF(ISERROR(MATCH(A26,'liste reference'!$B$8:$B$904,0)),"",(MATCH(A26,'liste reference'!$B$8:$B$904,0))),(MATCH(A26,'liste reference'!$A$8:$A$904,0)))</f>
        <v>345</v>
      </c>
      <c r="AA26" s="491"/>
      <c r="AB26" s="492"/>
      <c r="AC26" s="492"/>
      <c r="BB26" s="280" t="n">
        <f aca="false">IF(A26="","",1)</f>
        <v>1</v>
      </c>
    </row>
    <row r="27" customFormat="false" ht="12.75" hidden="false" customHeight="false" outlineLevel="0" collapsed="false">
      <c r="A27" s="493" t="s">
        <v>1375</v>
      </c>
      <c r="B27" s="494" t="n">
        <v>1</v>
      </c>
      <c r="C27" s="495"/>
      <c r="D27" s="477" t="str">
        <f aca="false">IF(ISERROR(VLOOKUP($A27,'liste reference'!$A$7:$D$904,2,0)),IF(ISERROR(VLOOKUP($A27,'liste reference'!$B$7:$D$904,1,0)),"",VLOOKUP($A27,'liste reference'!$B$7:$D$904,1,0)),VLOOKUP($A27,'liste reference'!$A$7:$D$904,2,0))</f>
        <v>Myriophyllum spicatum</v>
      </c>
      <c r="E27" s="496" t="e">
        <f aca="false">IF(D27="",0,VLOOKUP(D27,D$22:D26,1,0))</f>
        <v>#N/A</v>
      </c>
      <c r="F27" s="497" t="n">
        <f aca="false">($B27*$B$7+$C27*$C$7)/100</f>
        <v>1</v>
      </c>
      <c r="G27" s="479" t="str">
        <f aca="false">IF(A27="","",IF(ISERROR(VLOOKUP($A27,'liste reference'!$A$7:$P$904,13,0)),IF(ISERROR(VLOOKUP($A27,'liste reference'!$B$7:$P$904,12,0)),"    -",VLOOKUP($A27,'liste reference'!$B$7:$P$904,12,0)),VLOOKUP($A27,'liste reference'!$A$7:$P$904,13,0)))</f>
        <v>PHy</v>
      </c>
      <c r="H27" s="480" t="n">
        <f aca="false">IF(A27="","x",IF(ISERROR(VLOOKUP($A27,'liste reference'!$A$8:$P$904,14,0)),IF(ISERROR(VLOOKUP($A27,'liste reference'!$B$8:$P$904,13,0)),"x",VLOOKUP($A27,'liste reference'!$B$8:$P$904,13,0)),VLOOKUP($A27,'liste reference'!$A$8:$P$904,14,0)))</f>
        <v>7</v>
      </c>
      <c r="I27" s="481" t="n">
        <f aca="false">IF(ISNUMBER(H27),IF(ISERROR(VLOOKUP($A27,'liste reference'!$A$7:$P$904,3,0)),IF(ISERROR(VLOOKUP($A27,'liste reference'!$B$7:$P$904,2,0)),"",VLOOKUP($A27,'liste reference'!$B$7:$P$904,2,0)),VLOOKUP($A27,'liste reference'!$A$7:$P$904,3,0)),"")</f>
        <v>8</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Myriophyllum spicatum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1778</v>
      </c>
      <c r="Q27" s="486" t="n">
        <f aca="false">IF(ISTEXT(H27),"",(B27*$B$7/100)+(C27*$C$7/100))</f>
        <v>1</v>
      </c>
      <c r="R27" s="487" t="n">
        <f aca="false">IF(OR(ISTEXT(H27),Q27=0),"",IF(Q27&lt;0.1,1,IF(Q27&lt;1,2,IF(Q27&lt;10,3,IF(Q27&lt;50,4,IF(Q27&gt;=50,5,""))))))</f>
        <v>3</v>
      </c>
      <c r="S27" s="487" t="n">
        <f aca="false">IF(ISERROR(R27*I27),0,R27*I27)</f>
        <v>24</v>
      </c>
      <c r="T27" s="487" t="n">
        <f aca="false">IF(ISERROR(R27*I27*J27),0,R27*I27*J27)</f>
        <v>48</v>
      </c>
      <c r="U27" s="499" t="n">
        <f aca="false">IF(ISERROR(R27*J27),0,R27*J27)</f>
        <v>6</v>
      </c>
      <c r="V27" s="488" t="str">
        <f aca="false">IF(AND(A27="",F27=0),"",IF(F27=0,"Il manque le(s) % de rec. !",""))</f>
        <v/>
      </c>
      <c r="W27" s="489"/>
      <c r="Y27" s="490" t="str">
        <f aca="false">IF(A27="new.cod","NEWCOD",IF(AND((Z27=""),ISTEXT(A27)),A27,IF(Z27="","",INDEX('liste reference'!$A$8:$A$904,Z27))))</f>
        <v>MYRSPI</v>
      </c>
      <c r="Z27" s="280" t="n">
        <f aca="false">IF(ISERROR(MATCH(A27,'liste reference'!$A$8:$A$904,0)),IF(ISERROR(MATCH(A27,'liste reference'!$B$8:$B$904,0)),"",(MATCH(A27,'liste reference'!$B$8:$B$904,0))),(MATCH(A27,'liste reference'!$A$8:$A$904,0)))</f>
        <v>373</v>
      </c>
      <c r="AA27" s="491"/>
      <c r="AB27" s="492"/>
      <c r="AC27" s="492"/>
      <c r="BB27" s="280" t="n">
        <f aca="false">IF(A27="","",1)</f>
        <v>1</v>
      </c>
    </row>
    <row r="28" customFormat="false" ht="12.75" hidden="false" customHeight="false" outlineLevel="0" collapsed="false">
      <c r="A28" s="493" t="s">
        <v>1454</v>
      </c>
      <c r="B28" s="494" t="n">
        <v>0.5</v>
      </c>
      <c r="C28" s="495"/>
      <c r="D28" s="477" t="str">
        <f aca="false">IF(ISERROR(VLOOKUP($A28,'liste reference'!$A$7:$D$904,2,0)),IF(ISERROR(VLOOKUP($A28,'liste reference'!$B$7:$D$904,1,0)),"",VLOOKUP($A28,'liste reference'!$B$7:$D$904,1,0)),VLOOKUP($A28,'liste reference'!$A$7:$D$904,2,0))</f>
        <v>Potamogeton crispus</v>
      </c>
      <c r="E28" s="496" t="e">
        <f aca="false">IF(D28="",0,VLOOKUP(D28,D$22:D27,1,0))</f>
        <v>#N/A</v>
      </c>
      <c r="F28" s="497" t="n">
        <f aca="false">($B28*$B$7+$C28*$C$7)/100</f>
        <v>0.5</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7</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Potamogeton crispus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1645</v>
      </c>
      <c r="Q28" s="486" t="n">
        <f aca="false">IF(ISTEXT(H28),"",(B28*$B$7/100)+(C28*$C$7/100))</f>
        <v>0.5</v>
      </c>
      <c r="R28" s="487" t="n">
        <f aca="false">IF(OR(ISTEXT(H28),Q28=0),"",IF(Q28&lt;0.1,1,IF(Q28&lt;1,2,IF(Q28&lt;10,3,IF(Q28&lt;50,4,IF(Q28&gt;=50,5,""))))))</f>
        <v>2</v>
      </c>
      <c r="S28" s="487" t="n">
        <f aca="false">IF(ISERROR(R28*I28),0,R28*I28)</f>
        <v>14</v>
      </c>
      <c r="T28" s="487" t="n">
        <f aca="false">IF(ISERROR(R28*I28*J28),0,R28*I28*J28)</f>
        <v>28</v>
      </c>
      <c r="U28" s="499" t="n">
        <f aca="false">IF(ISERROR(R28*J28),0,R28*J28)</f>
        <v>4</v>
      </c>
      <c r="V28" s="488" t="str">
        <f aca="false">IF(AND(A28="",F28=0),"",IF(F28=0,"Il manque le(s) % de rec. !",""))</f>
        <v/>
      </c>
      <c r="W28" s="489"/>
      <c r="Y28" s="490" t="str">
        <f aca="false">IF(A28="new.cod","NEWCOD",IF(AND((Z28=""),ISTEXT(A28)),A28,IF(Z28="","",INDEX('liste reference'!$A$8:$A$904,Z28))))</f>
        <v>POTCRI</v>
      </c>
      <c r="Z28" s="280" t="n">
        <f aca="false">IF(ISERROR(MATCH(A28,'liste reference'!$A$8:$A$904,0)),IF(ISERROR(MATCH(A28,'liste reference'!$B$8:$B$904,0)),"",(MATCH(A28,'liste reference'!$B$8:$B$904,0))),(MATCH(A28,'liste reference'!$A$8:$A$904,0)))</f>
        <v>409</v>
      </c>
      <c r="AA28" s="491"/>
      <c r="AB28" s="492"/>
      <c r="AC28" s="492"/>
      <c r="BB28" s="280" t="n">
        <f aca="false">IF(A28="","",1)</f>
        <v>1</v>
      </c>
    </row>
    <row r="29" customFormat="false" ht="12.75" hidden="false" customHeight="false" outlineLevel="0" collapsed="false">
      <c r="A29" s="493" t="s">
        <v>1487</v>
      </c>
      <c r="B29" s="494" t="n">
        <v>86</v>
      </c>
      <c r="C29" s="495"/>
      <c r="D29" s="477" t="str">
        <f aca="false">IF(ISERROR(VLOOKUP($A29,'liste reference'!$A$7:$D$904,2,0)),IF(ISERROR(VLOOKUP($A29,'liste reference'!$B$7:$D$904,1,0)),"",VLOOKUP($A29,'liste reference'!$B$7:$D$904,1,0)),VLOOKUP($A29,'liste reference'!$A$7:$D$904,2,0))</f>
        <v>Potamogeton pectinatus</v>
      </c>
      <c r="E29" s="496" t="e">
        <f aca="false">IF(D29="",0,VLOOKUP(D29,D$22:D28,1,0))</f>
        <v>#N/A</v>
      </c>
      <c r="F29" s="497" t="n">
        <f aca="false">($B29*$B$7+$C29*$C$7)/100</f>
        <v>86</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2</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Potamogeton pectinatus</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1655</v>
      </c>
      <c r="Q29" s="486" t="n">
        <f aca="false">IF(ISTEXT(H29),"",(B29*$B$7/100)+(C29*$C$7/100))</f>
        <v>86</v>
      </c>
      <c r="R29" s="487" t="n">
        <f aca="false">IF(OR(ISTEXT(H29),Q29=0),"",IF(Q29&lt;0.1,1,IF(Q29&lt;1,2,IF(Q29&lt;10,3,IF(Q29&lt;50,4,IF(Q29&gt;=50,5,""))))))</f>
        <v>5</v>
      </c>
      <c r="S29" s="487" t="n">
        <f aca="false">IF(ISERROR(R29*I29),0,R29*I29)</f>
        <v>10</v>
      </c>
      <c r="T29" s="487" t="n">
        <f aca="false">IF(ISERROR(R29*I29*J29),0,R29*I29*J29)</f>
        <v>20</v>
      </c>
      <c r="U29" s="499" t="n">
        <f aca="false">IF(ISERROR(R29*J29),0,R29*J29)</f>
        <v>10</v>
      </c>
      <c r="V29" s="488" t="str">
        <f aca="false">IF(AND(A29="",F29=0),"",IF(F29=0,"Il manque le(s) % de rec. !",""))</f>
        <v/>
      </c>
      <c r="W29" s="489"/>
      <c r="Y29" s="490" t="str">
        <f aca="false">IF(A29="new.cod","NEWCOD",IF(AND((Z29=""),ISTEXT(A29)),A29,IF(Z29="","",INDEX('liste reference'!$A$8:$A$904,Z29))))</f>
        <v>POTPEC</v>
      </c>
      <c r="Z29" s="280" t="n">
        <f aca="false">IF(ISERROR(MATCH(A29,'liste reference'!$A$8:$A$904,0)),IF(ISERROR(MATCH(A29,'liste reference'!$B$8:$B$904,0)),"",(MATCH(A29,'liste reference'!$B$8:$B$904,0))),(MATCH(A29,'liste reference'!$A$8:$A$904,0)))</f>
        <v>421</v>
      </c>
      <c r="AA29" s="491"/>
      <c r="AB29" s="492"/>
      <c r="AC29" s="492"/>
      <c r="BB29" s="280" t="n">
        <f aca="false">IF(A29="","",1)</f>
        <v>1</v>
      </c>
    </row>
    <row r="30" customFormat="false" ht="12.75" hidden="false" customHeight="false" outlineLevel="0" collapsed="false">
      <c r="A30" s="493" t="s">
        <v>1708</v>
      </c>
      <c r="B30" s="494" t="n">
        <v>0.05</v>
      </c>
      <c r="C30" s="495"/>
      <c r="D30" s="477" t="str">
        <f aca="false">IF(ISERROR(VLOOKUP($A30,'liste reference'!$A$7:$D$904,2,0)),IF(ISERROR(VLOOKUP($A30,'liste reference'!$B$7:$D$904,1,0)),"",VLOOKUP($A30,'liste reference'!$B$7:$D$904,1,0)),VLOOKUP($A30,'liste reference'!$A$7:$D$904,2,0))</f>
        <v>Agrostis stolonifera</v>
      </c>
      <c r="E30" s="496" t="e">
        <f aca="false">IF(D30="",0,VLOOKUP(D30,D$22:D29,1,0))</f>
        <v>#N/A</v>
      </c>
      <c r="F30" s="497" t="n">
        <f aca="false">($B30*$B$7+$C30*$C$7)/100</f>
        <v>0.05</v>
      </c>
      <c r="G30" s="479" t="str">
        <f aca="false">IF(A30="","",IF(ISERROR(VLOOKUP($A30,'liste reference'!$A$7:$P$904,13,0)),IF(ISERROR(VLOOKUP($A30,'liste reference'!$B$7:$P$904,12,0)),"    -",VLOOKUP($A30,'liste reference'!$B$7:$P$904,12,0)),VLOOKUP($A30,'liste reference'!$A$7:$P$904,13,0)))</f>
        <v>PHe</v>
      </c>
      <c r="H30" s="480" t="n">
        <f aca="false">IF(A30="","x",IF(ISERROR(VLOOKUP($A30,'liste reference'!$A$8:$P$904,14,0)),IF(ISERROR(VLOOKUP($A30,'liste reference'!$B$8:$P$904,13,0)),"x",VLOOKUP($A30,'liste reference'!$B$8:$P$904,13,0)),VLOOKUP($A30,'liste reference'!$A$8:$P$904,14,0)))</f>
        <v>8</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Agrostis stolonifera</v>
      </c>
      <c r="L30" s="498"/>
      <c r="M30" s="498"/>
      <c r="N30" s="498"/>
      <c r="O30" s="484" t="s">
        <v>2684</v>
      </c>
      <c r="P30" s="485" t="n">
        <f aca="false">IF($A30="NEWCOD",IF($AC30="","No",$AC30),IF(ISTEXT($E30),"DEJA SAISI !",IF($A30="","",IF(ISERROR(VLOOKUP($A30,'liste reference'!A:S,19,FALSE())),IF(ISERROR(VLOOKUP($A30,'liste reference'!B:S,19,FALSE())),"",VLOOKUP($A30,'liste reference'!B:S,19,FALSE())),VLOOKUP($A30,'liste reference'!A:S,19,FALSE())))))</f>
        <v>1543</v>
      </c>
      <c r="Q30" s="486" t="n">
        <f aca="false">IF(ISTEXT(H30),"",(B30*$B$7/100)+(C30*$C$7/100))</f>
        <v>0.05</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AGRSTO</v>
      </c>
      <c r="Z30" s="280" t="n">
        <f aca="false">IF(ISERROR(MATCH(A30,'liste reference'!$A$8:$A$904,0)),IF(ISERROR(MATCH(A30,'liste reference'!$B$8:$B$904,0)),"",(MATCH(A30,'liste reference'!$B$8:$B$904,0))),(MATCH(A30,'liste reference'!$A$8:$A$904,0)))</f>
        <v>514</v>
      </c>
      <c r="AA30" s="491" t="s">
        <v>2684</v>
      </c>
      <c r="AB30" s="492"/>
      <c r="AC30" s="492"/>
      <c r="BB30" s="280" t="n">
        <f aca="false">IF(A30="","",1)</f>
        <v>1</v>
      </c>
    </row>
    <row r="31" customFormat="false" ht="12.75" hidden="false" customHeight="false" outlineLevel="0" collapsed="false">
      <c r="A31" s="493" t="s">
        <v>1793</v>
      </c>
      <c r="B31" s="494" t="n">
        <v>0.1</v>
      </c>
      <c r="C31" s="495"/>
      <c r="D31" s="477" t="str">
        <f aca="false">IF(ISERROR(VLOOKUP($A31,'liste reference'!$A$7:$D$904,2,0)),IF(ISERROR(VLOOKUP($A31,'liste reference'!$B$7:$D$904,1,0)),"",VLOOKUP($A31,'liste reference'!$B$7:$D$904,1,0)),VLOOKUP($A31,'liste reference'!$A$7:$D$904,2,0))</f>
        <v>Carex sp.</v>
      </c>
      <c r="E31" s="496" t="e">
        <f aca="false">IF(D31="",0,VLOOKUP(D31,D$22:D30,1,0))</f>
        <v>#N/A</v>
      </c>
      <c r="F31" s="497" t="n">
        <f aca="false">($B31*$B$7+$C31*$C$7)/100</f>
        <v>0.1</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Carex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1466</v>
      </c>
      <c r="Q31" s="486" t="n">
        <f aca="false">IF(ISTEXT(H31),"",(B31*$B$7/100)+(C31*$C$7/100))</f>
        <v>0.1</v>
      </c>
      <c r="R31" s="487" t="n">
        <f aca="false">IF(OR(ISTEXT(H31),Q31=0),"",IF(Q31&lt;0.1,1,IF(Q31&lt;1,2,IF(Q31&lt;10,3,IF(Q31&lt;50,4,IF(Q31&gt;=50,5,""))))))</f>
        <v>2</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CARSPX</v>
      </c>
      <c r="Z31" s="280" t="n">
        <f aca="false">IF(ISERROR(MATCH(A31,'liste reference'!$A$8:$A$904,0)),IF(ISERROR(MATCH(A31,'liste reference'!$B$8:$B$904,0)),"",(MATCH(A31,'liste reference'!$B$8:$B$904,0))),(MATCH(A31,'liste reference'!$A$8:$A$904,0)))</f>
        <v>545</v>
      </c>
      <c r="AA31" s="491"/>
      <c r="AB31" s="492"/>
      <c r="AC31" s="492"/>
      <c r="BB31" s="280" t="n">
        <f aca="false">IF(A31="","",1)</f>
        <v>1</v>
      </c>
    </row>
    <row r="32" customFormat="false" ht="12.75" hidden="false" customHeight="false" outlineLevel="0" collapsed="false">
      <c r="A32" s="493" t="s">
        <v>1882</v>
      </c>
      <c r="B32" s="494" t="n">
        <v>0.05</v>
      </c>
      <c r="C32" s="495"/>
      <c r="D32" s="477" t="str">
        <f aca="false">IF(ISERROR(VLOOKUP($A32,'liste reference'!$A$7:$D$904,2,0)),IF(ISERROR(VLOOKUP($A32,'liste reference'!$B$7:$D$904,1,0)),"",VLOOKUP($A32,'liste reference'!$B$7:$D$904,1,0)),VLOOKUP($A32,'liste reference'!$A$7:$D$904,2,0))</f>
        <v>Iris pseudacorus</v>
      </c>
      <c r="E32" s="496" t="e">
        <f aca="false">IF(D32="",0,VLOOKUP(D32,D$22:D31,1,0))</f>
        <v>#N/A</v>
      </c>
      <c r="F32" s="497" t="n">
        <f aca="false">($B32*$B$7+$C32*$C$7)/100</f>
        <v>0.05</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Iris pseudacorus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1601</v>
      </c>
      <c r="Q32" s="486" t="n">
        <f aca="false">IF(ISTEXT(H32),"",(B32*$B$7/100)+(C32*$C$7/100))</f>
        <v>0.05</v>
      </c>
      <c r="R32" s="487" t="n">
        <f aca="false">IF(OR(ISTEXT(H32),Q32=0),"",IF(Q32&lt;0.1,1,IF(Q32&lt;1,2,IF(Q32&lt;10,3,IF(Q32&lt;50,4,IF(Q32&gt;=50,5,""))))))</f>
        <v>1</v>
      </c>
      <c r="S32" s="487" t="n">
        <f aca="false">IF(ISERROR(R32*I32),0,R32*I32)</f>
        <v>10</v>
      </c>
      <c r="T32" s="487" t="n">
        <f aca="false">IF(ISERROR(R32*I32*J32),0,R32*I32*J32)</f>
        <v>10</v>
      </c>
      <c r="U32" s="499" t="n">
        <f aca="false">IF(ISERROR(R32*J32),0,R32*J32)</f>
        <v>1</v>
      </c>
      <c r="V32" s="488" t="str">
        <f aca="false">IF(AND(A32="",F32=0),"",IF(F32=0,"Il manque le(s) % de rec. !",""))</f>
        <v/>
      </c>
      <c r="W32" s="489"/>
      <c r="Y32" s="490" t="str">
        <f aca="false">IF(A32="new.cod","NEWCOD",IF(AND((Z32=""),ISTEXT(A32)),A32,IF(Z32="","",INDEX('liste reference'!$A$8:$A$904,Z32))))</f>
        <v>IRIPSE</v>
      </c>
      <c r="Z32" s="280" t="n">
        <f aca="false">IF(ISERROR(MATCH(A32,'liste reference'!$A$8:$A$904,0)),IF(ISERROR(MATCH(A32,'liste reference'!$B$8:$B$904,0)),"",(MATCH(A32,'liste reference'!$B$8:$B$904,0))),(MATCH(A32,'liste reference'!$A$8:$A$904,0)))</f>
        <v>582</v>
      </c>
      <c r="AA32" s="491"/>
      <c r="AB32" s="492"/>
      <c r="AC32" s="492"/>
      <c r="BB32" s="280" t="n">
        <f aca="false">IF(A32="","",1)</f>
        <v>1</v>
      </c>
    </row>
    <row r="33" customFormat="false" ht="12.75" hidden="false" customHeight="false" outlineLevel="0" collapsed="false">
      <c r="A33" s="493" t="s">
        <v>1913</v>
      </c>
      <c r="B33" s="494" t="n">
        <v>0.02</v>
      </c>
      <c r="C33" s="495"/>
      <c r="D33" s="477" t="str">
        <f aca="false">IF(ISERROR(VLOOKUP($A33,'liste reference'!$A$7:$D$904,2,0)),IF(ISERROR(VLOOKUP($A33,'liste reference'!$B$7:$D$904,1,0)),"",VLOOKUP($A33,'liste reference'!$B$7:$D$904,1,0)),VLOOKUP($A33,'liste reference'!$A$7:$D$904,2,0))</f>
        <v>Lycopus europaeus</v>
      </c>
      <c r="E33" s="496" t="e">
        <f aca="false">IF(D33="",0,VLOOKUP(D33,D$22:D32,1,0))</f>
        <v>#N/A</v>
      </c>
      <c r="F33" s="497" t="n">
        <f aca="false">($B33*$B$7+$C33*$C$7)/100</f>
        <v>0.02</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11</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Lycopus europaeus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1789</v>
      </c>
      <c r="Q33" s="486" t="n">
        <f aca="false">IF(ISTEXT(H33),"",(B33*$B$7/100)+(C33*$C$7/100))</f>
        <v>0.02</v>
      </c>
      <c r="R33" s="487" t="n">
        <f aca="false">IF(OR(ISTEXT(H33),Q33=0),"",IF(Q33&lt;0.1,1,IF(Q33&lt;1,2,IF(Q33&lt;10,3,IF(Q33&lt;50,4,IF(Q33&gt;=50,5,""))))))</f>
        <v>1</v>
      </c>
      <c r="S33" s="487" t="n">
        <f aca="false">IF(ISERROR(R33*I33),0,R33*I33)</f>
        <v>11</v>
      </c>
      <c r="T33" s="487" t="n">
        <f aca="false">IF(ISERROR(R33*I33*J33),0,R33*I33*J33)</f>
        <v>11</v>
      </c>
      <c r="U33" s="499" t="n">
        <f aca="false">IF(ISERROR(R33*J33),0,R33*J33)</f>
        <v>1</v>
      </c>
      <c r="V33" s="488" t="str">
        <f aca="false">IF(AND(A33="",F33=0),"",IF(F33=0,"Il manque le(s) % de rec. !",""))</f>
        <v/>
      </c>
      <c r="W33" s="489"/>
      <c r="Y33" s="490" t="str">
        <f aca="false">IF(A33="new.cod","NEWCOD",IF(AND((Z33=""),ISTEXT(A33)),A33,IF(Z33="","",INDEX('liste reference'!$A$8:$A$904,Z33))))</f>
        <v>LYCEUR</v>
      </c>
      <c r="Z33" s="280" t="n">
        <f aca="false">IF(ISERROR(MATCH(A33,'liste reference'!$A$8:$A$904,0)),IF(ISERROR(MATCH(A33,'liste reference'!$B$8:$B$904,0)),"",(MATCH(A33,'liste reference'!$B$8:$B$904,0))),(MATCH(A33,'liste reference'!$A$8:$A$904,0)))</f>
        <v>596</v>
      </c>
      <c r="AA33" s="491"/>
      <c r="AB33" s="492"/>
      <c r="AC33" s="492"/>
      <c r="BB33" s="280" t="n">
        <f aca="false">IF(A33="","",1)</f>
        <v>1</v>
      </c>
    </row>
    <row r="34" customFormat="false" ht="12.75" hidden="false" customHeight="false" outlineLevel="0" collapsed="false">
      <c r="A34" s="493" t="s">
        <v>1932</v>
      </c>
      <c r="B34" s="494" t="n">
        <v>0.01</v>
      </c>
      <c r="C34" s="495"/>
      <c r="D34" s="477" t="str">
        <f aca="false">IF(ISERROR(VLOOKUP($A34,'liste reference'!$A$7:$D$904,2,0)),IF(ISERROR(VLOOKUP($A34,'liste reference'!$B$7:$D$904,1,0)),"",VLOOKUP($A34,'liste reference'!$B$7:$D$904,1,0)),VLOOKUP($A34,'liste reference'!$A$7:$D$904,2,0))</f>
        <v>Lythrum salicaria</v>
      </c>
      <c r="E34" s="496" t="e">
        <f aca="false">IF(D34="",0,VLOOKUP(D34,D$22:D33,1,0))</f>
        <v>#N/A</v>
      </c>
      <c r="F34" s="500" t="n">
        <f aca="false">($B34*$B$7+$C34*$C$7)/100</f>
        <v>0.01</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1823</v>
      </c>
      <c r="Q34" s="486" t="n">
        <f aca="false">IF(ISTEXT(H34),"",(B34*$B$7/100)+(C34*$C$7/100))</f>
        <v>0.01</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501"/>
      <c r="Y34" s="490" t="str">
        <f aca="false">IF(A34="new.cod","NEWCOD",IF(AND((Z34=""),ISTEXT(A34)),A34,IF(Z34="","",INDEX('liste reference'!$A$8:$A$904,Z34))))</f>
        <v>LYTSAL</v>
      </c>
      <c r="Z34" s="280" t="n">
        <f aca="false">IF(ISERROR(MATCH(A34,'liste reference'!$A$8:$A$904,0)),IF(ISERROR(MATCH(A34,'liste reference'!$B$8:$B$904,0)),"",(MATCH(A34,'liste reference'!$B$8:$B$904,0))),(MATCH(A34,'liste reference'!$A$8:$A$904,0)))</f>
        <v>605</v>
      </c>
      <c r="AA34" s="491"/>
      <c r="AB34" s="492"/>
      <c r="AC34" s="492"/>
      <c r="BB34" s="280" t="n">
        <f aca="false">IF(A34="","",1)</f>
        <v>1</v>
      </c>
    </row>
    <row r="35" customFormat="false" ht="12.75" hidden="false" customHeight="false" outlineLevel="0" collapsed="false">
      <c r="A35" s="493" t="s">
        <v>1984</v>
      </c>
      <c r="B35" s="494" t="n">
        <v>0.005</v>
      </c>
      <c r="C35" s="495"/>
      <c r="D35" s="477" t="str">
        <f aca="false">IF(ISERROR(VLOOKUP($A35,'liste reference'!$A$7:$D$904,2,0)),IF(ISERROR(VLOOKUP($A35,'liste reference'!$B$7:$D$904,1,0)),"",VLOOKUP($A35,'liste reference'!$B$7:$D$904,1,0)),VLOOKUP($A35,'liste reference'!$A$7:$D$904,2,0))</f>
        <v>Nasturtium officinale</v>
      </c>
      <c r="E35" s="496" t="e">
        <f aca="false">IF(D35="",0,VLOOKUP(D35,D$22:D34,1,0))</f>
        <v>#N/A</v>
      </c>
      <c r="F35" s="500" t="n">
        <f aca="false">($B35*$B$7+$C35*$C$7)/100</f>
        <v>0.005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Nasturtium officinale</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1763</v>
      </c>
      <c r="Q35" s="486" t="n">
        <f aca="false">IF(ISTEXT(H35),"",(B35*$B$7/100)+(C35*$C$7/100))</f>
        <v>0.005</v>
      </c>
      <c r="R35" s="487" t="n">
        <f aca="false">IF(OR(ISTEXT(H35),Q35=0),"",IF(Q35&lt;0.1,1,IF(Q35&lt;1,2,IF(Q35&lt;10,3,IF(Q35&lt;50,4,IF(Q35&gt;=50,5,""))))))</f>
        <v>1</v>
      </c>
      <c r="S35" s="487" t="n">
        <f aca="false">IF(ISERROR(R35*I35),0,R35*I35)</f>
        <v>11</v>
      </c>
      <c r="T35" s="487" t="n">
        <f aca="false">IF(ISERROR(R35*I35*J35),0,R35*I35*J35)</f>
        <v>11</v>
      </c>
      <c r="U35" s="499" t="n">
        <f aca="false">IF(ISERROR(R35*J35),0,R35*J35)</f>
        <v>1</v>
      </c>
      <c r="V35" s="488" t="str">
        <f aca="false">IF(AND(A35="",F35=0),"",IF(F35=0,"Il manque le(s) % de rec. !",""))</f>
        <v/>
      </c>
      <c r="W35" s="489"/>
      <c r="Y35" s="490" t="str">
        <f aca="false">IF(A35="new.cod","NEWCOD",IF(AND((Z35=""),ISTEXT(A35)),A35,IF(Z35="","",INDEX('liste reference'!$A$8:$A$904,Z35))))</f>
        <v>NASOFF</v>
      </c>
      <c r="Z35" s="280" t="n">
        <f aca="false">IF(ISERROR(MATCH(A35,'liste reference'!$A$8:$A$904,0)),IF(ISERROR(MATCH(A35,'liste reference'!$B$8:$B$904,0)),"",(MATCH(A35,'liste reference'!$B$8:$B$904,0))),(MATCH(A35,'liste reference'!$A$8:$A$904,0)))</f>
        <v>628</v>
      </c>
      <c r="AA35" s="491"/>
      <c r="AB35" s="492"/>
      <c r="AC35" s="492"/>
      <c r="BB35" s="280" t="n">
        <f aca="false">IF(A35="","",1)</f>
        <v>1</v>
      </c>
    </row>
    <row r="36" customFormat="false" ht="12.75" hidden="false" customHeight="false" outlineLevel="0" collapsed="false">
      <c r="A36" s="493" t="s">
        <v>2000</v>
      </c>
      <c r="B36" s="494" t="n">
        <v>0.02</v>
      </c>
      <c r="C36" s="495"/>
      <c r="D36" s="477" t="str">
        <f aca="false">IF(ISERROR(VLOOKUP($A36,'liste reference'!$A$7:$D$904,2,0)),IF(ISERROR(VLOOKUP($A36,'liste reference'!$B$7:$D$904,1,0)),"",VLOOKUP($A36,'liste reference'!$B$7:$D$904,1,0)),VLOOKUP($A36,'liste reference'!$A$7:$D$904,2,0))</f>
        <v>Phalaris arundinacea</v>
      </c>
      <c r="E36" s="496" t="e">
        <f aca="false">IF(D36="",0,VLOOKUP(D36,D$22:D35,1,0))</f>
        <v>#N/A</v>
      </c>
      <c r="F36" s="500" t="n">
        <f aca="false">($B36*$B$7+$C36*$C$7)/100</f>
        <v>0.02</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10</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Phalaris arundinacea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1577</v>
      </c>
      <c r="Q36" s="486" t="n">
        <f aca="false">IF(ISTEXT(H36),"",(B36*$B$7/100)+(C36*$C$7/100))</f>
        <v>0.02</v>
      </c>
      <c r="R36" s="487" t="n">
        <f aca="false">IF(OR(ISTEXT(H36),Q36=0),"",IF(Q36&lt;0.1,1,IF(Q36&lt;1,2,IF(Q36&lt;10,3,IF(Q36&lt;50,4,IF(Q36&gt;=50,5,""))))))</f>
        <v>1</v>
      </c>
      <c r="S36" s="487" t="n">
        <f aca="false">IF(ISERROR(R36*I36),0,R36*I36)</f>
        <v>10</v>
      </c>
      <c r="T36" s="487" t="n">
        <f aca="false">IF(ISERROR(R36*I36*J36),0,R36*I36*J36)</f>
        <v>10</v>
      </c>
      <c r="U36" s="499" t="n">
        <f aca="false">IF(ISERROR(R36*J36),0,R36*J36)</f>
        <v>1</v>
      </c>
      <c r="V36" s="488" t="str">
        <f aca="false">IF(AND(A36="",F36=0),"",IF(F36=0,"Il manque le(s) % de rec. !",""))</f>
        <v/>
      </c>
      <c r="W36" s="489"/>
      <c r="X36" s="489"/>
      <c r="Y36" s="490" t="str">
        <f aca="false">IF(A36="new.cod","NEWCOD",IF(AND((Z36=""),ISTEXT(A36)),A36,IF(Z36="","",INDEX('liste reference'!$A$8:$A$904,Z36))))</f>
        <v>PHAARU</v>
      </c>
      <c r="Z36" s="280" t="n">
        <f aca="false">IF(ISERROR(MATCH(A36,'liste reference'!$A$8:$A$904,0)),IF(ISERROR(MATCH(A36,'liste reference'!$B$8:$B$904,0)),"",(MATCH(A36,'liste reference'!$B$8:$B$904,0))),(MATCH(A36,'liste reference'!$A$8:$A$904,0)))</f>
        <v>634</v>
      </c>
      <c r="AA36" s="491"/>
      <c r="AB36" s="492"/>
      <c r="AC36" s="492"/>
      <c r="BB36" s="280" t="n">
        <f aca="false">IF(A36="","",1)</f>
        <v>1</v>
      </c>
    </row>
    <row r="37" customFormat="false" ht="12.75" hidden="false" customHeight="false" outlineLevel="0" collapsed="false">
      <c r="A37" s="493" t="s">
        <v>2002</v>
      </c>
      <c r="B37" s="494" t="n">
        <v>5</v>
      </c>
      <c r="C37" s="495"/>
      <c r="D37" s="477" t="str">
        <f aca="false">IF(ISERROR(VLOOKUP($A37,'liste reference'!$A$7:$D$904,2,0)),IF(ISERROR(VLOOKUP($A37,'liste reference'!$B$7:$D$904,1,0)),"",VLOOKUP($A37,'liste reference'!$B$7:$D$904,1,0)),VLOOKUP($A37,'liste reference'!$A$7:$D$904,2,0))</f>
        <v>Phragmites australis</v>
      </c>
      <c r="E37" s="496" t="e">
        <f aca="false">IF(D37="",0,VLOOKUP(D37,D$22:D36,1,0))</f>
        <v>#N/A</v>
      </c>
      <c r="F37" s="500" t="n">
        <f aca="false">($B37*$B$7+$C37*$C$7)/100</f>
        <v>5</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9</v>
      </c>
      <c r="J37" s="481" t="n">
        <f aca="false">IF(ISNUMBER(H37),IF(ISERROR(VLOOKUP($A37,'liste reference'!$A$7:$P$904,4,0)),IF(ISERROR(VLOOKUP($A37,'liste reference'!$B$7:$P$904,3,0)),"",VLOOKUP($A37,'liste reference'!$B$7:$P$904,3,0)),VLOOKUP($A37,'liste reference'!$A$7:$P$904,4,0)),"")</f>
        <v>2</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Phragmites australis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1579</v>
      </c>
      <c r="Q37" s="486" t="n">
        <f aca="false">IF(ISTEXT(H37),"",(B37*$B$7/100)+(C37*$C$7/100))</f>
        <v>5</v>
      </c>
      <c r="R37" s="487" t="n">
        <f aca="false">IF(OR(ISTEXT(H37),Q37=0),"",IF(Q37&lt;0.1,1,IF(Q37&lt;1,2,IF(Q37&lt;10,3,IF(Q37&lt;50,4,IF(Q37&gt;=50,5,""))))))</f>
        <v>3</v>
      </c>
      <c r="S37" s="487" t="n">
        <f aca="false">IF(ISERROR(R37*I37),0,R37*I37)</f>
        <v>27</v>
      </c>
      <c r="T37" s="487" t="n">
        <f aca="false">IF(ISERROR(R37*I37*J37),0,R37*I37*J37)</f>
        <v>54</v>
      </c>
      <c r="U37" s="499" t="n">
        <f aca="false">IF(ISERROR(R37*J37),0,R37*J37)</f>
        <v>6</v>
      </c>
      <c r="V37" s="488" t="str">
        <f aca="false">IF(AND(A37="",F37=0),"",IF(F37=0,"Il manque le(s) % de rec. !",""))</f>
        <v/>
      </c>
      <c r="W37" s="489"/>
      <c r="Y37" s="490" t="str">
        <f aca="false">IF(A37="new.cod","NEWCOD",IF(AND((Z37=""),ISTEXT(A37)),A37,IF(Z37="","",INDEX('liste reference'!$A$8:$A$904,Z37))))</f>
        <v>PHRAUS</v>
      </c>
      <c r="Z37" s="280" t="n">
        <f aca="false">IF(ISERROR(MATCH(A37,'liste reference'!$A$8:$A$904,0)),IF(ISERROR(MATCH(A37,'liste reference'!$B$8:$B$904,0)),"",(MATCH(A37,'liste reference'!$B$8:$B$904,0))),(MATCH(A37,'liste reference'!$A$8:$A$904,0)))</f>
        <v>635</v>
      </c>
      <c r="AA37" s="491"/>
      <c r="AB37" s="492"/>
      <c r="AC37" s="492"/>
      <c r="BB37" s="280" t="n">
        <f aca="false">IF(A37="","",1)</f>
        <v>1</v>
      </c>
    </row>
    <row r="38" customFormat="false" ht="12.75" hidden="false" customHeight="false" outlineLevel="0" collapsed="false">
      <c r="A38" s="493" t="s">
        <v>2685</v>
      </c>
      <c r="B38" s="494" t="n">
        <v>0.01</v>
      </c>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0.01</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Equisetum ramosissimum</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2686</v>
      </c>
      <c r="AC38" s="492"/>
      <c r="BB38" s="280" t="n">
        <f aca="false">IF(A38="","",1)</f>
        <v>1</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Meyne</v>
      </c>
      <c r="B84" s="529" t="str">
        <f aca="false">C3</f>
        <v>Orange</v>
      </c>
      <c r="C84" s="530" t="n">
        <f aca="false">A4</f>
        <v>41871</v>
      </c>
      <c r="D84" s="531" t="n">
        <f aca="false">IF(ISERROR(SUM($T$23:$T$82)/SUM($U$23:$U$82)),"",SUM($T$23:$T$82)/SUM($U$23:$U$82))</f>
        <v>7.1</v>
      </c>
      <c r="E84" s="532" t="n">
        <f aca="false">N13</f>
        <v>16</v>
      </c>
      <c r="F84" s="529" t="n">
        <f aca="false">N14</f>
        <v>15</v>
      </c>
      <c r="G84" s="529" t="n">
        <f aca="false">N15</f>
        <v>6</v>
      </c>
      <c r="H84" s="529" t="n">
        <f aca="false">N16</f>
        <v>7</v>
      </c>
      <c r="I84" s="529" t="n">
        <f aca="false">N17</f>
        <v>0</v>
      </c>
      <c r="J84" s="533" t="n">
        <f aca="false">N8</f>
        <v>7.4</v>
      </c>
      <c r="K84" s="531" t="n">
        <f aca="false">N9</f>
        <v>3.75588427226754</v>
      </c>
      <c r="L84" s="532" t="n">
        <f aca="false">N10</f>
        <v>0</v>
      </c>
      <c r="M84" s="532" t="n">
        <f aca="false">N11</f>
        <v>11</v>
      </c>
      <c r="N84" s="531" t="n">
        <f aca="false">O8</f>
        <v>1.33333333333333</v>
      </c>
      <c r="O84" s="531" t="n">
        <f aca="false">O9</f>
        <v>0.699205898780101</v>
      </c>
      <c r="P84" s="532" t="n">
        <f aca="false">O10</f>
        <v>0</v>
      </c>
      <c r="Q84" s="532" t="n">
        <f aca="false">O11</f>
        <v>2</v>
      </c>
      <c r="R84" s="532" t="n">
        <f aca="false">F21</f>
        <v>93.355</v>
      </c>
      <c r="S84" s="532" t="n">
        <f aca="false">K11</f>
        <v>0</v>
      </c>
      <c r="T84" s="532" t="n">
        <f aca="false">K12</f>
        <v>2</v>
      </c>
      <c r="U84" s="532" t="n">
        <f aca="false">K13</f>
        <v>0</v>
      </c>
      <c r="V84" s="534" t="n">
        <f aca="false">K14</f>
        <v>0</v>
      </c>
      <c r="W84" s="535" t="n">
        <f aca="false">K15</f>
        <v>13</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27</v>
      </c>
      <c r="T87" s="280"/>
      <c r="U87" s="280"/>
      <c r="V87" s="280"/>
    </row>
    <row r="88" customFormat="false" ht="12.75" hidden="true" customHeight="false" outlineLevel="0" collapsed="false">
      <c r="P88" s="280"/>
      <c r="Q88" s="280" t="s">
        <v>2690</v>
      </c>
      <c r="R88" s="280"/>
      <c r="S88" s="488" t="n">
        <f aca="false">VLOOKUP((S87),($S$23:$U$82),2,0)</f>
        <v>54</v>
      </c>
      <c r="T88" s="280"/>
      <c r="U88" s="280"/>
      <c r="V88" s="280"/>
    </row>
    <row r="89" customFormat="false" ht="12.75" hidden="true" customHeight="false" outlineLevel="0" collapsed="false">
      <c r="Q89" s="280" t="s">
        <v>2691</v>
      </c>
      <c r="R89" s="280"/>
      <c r="S89" s="488" t="n">
        <f aca="false">VLOOKUP((S87),($S$23:$U$82),3,0)</f>
        <v>6</v>
      </c>
      <c r="T89" s="280"/>
    </row>
    <row r="90" customFormat="false" ht="12.75" hidden="false" customHeight="false" outlineLevel="0" collapsed="false">
      <c r="Q90" s="280" t="s">
        <v>2692</v>
      </c>
      <c r="R90" s="280"/>
      <c r="S90" s="538" t="n">
        <f aca="false">IF(ISERROR(SUM($T$23:$T$82)/SUM($U$23:$U$82)),"",(SUM($T$23:$T$82)-S88)/(SUM($U$23:$U$82)-S89))</f>
        <v>6.76470588235294</v>
      </c>
      <c r="T90" s="280"/>
    </row>
    <row r="91" customFormat="false" ht="12.75" hidden="false" customHeight="false" outlineLevel="0" collapsed="false">
      <c r="Q91" s="487" t="s">
        <v>2693</v>
      </c>
      <c r="R91" s="487"/>
      <c r="S91" s="487" t="str">
        <f aca="false">INDEX('liste reference'!$A$8:$A$904,$T$91)</f>
        <v>PHRAUS</v>
      </c>
      <c r="T91" s="280" t="n">
        <f aca="false">IF(ISERROR(MATCH($S$93,'liste reference'!$A$8:$A$904,0)),MATCH($S$93,'liste reference'!$B$8:$B$904,0),(MATCH($S$93,'liste reference'!$A$8:$A$904,0)))</f>
        <v>635</v>
      </c>
      <c r="U91" s="527"/>
    </row>
    <row r="92" customFormat="false" ht="12.75" hidden="false" customHeight="false" outlineLevel="0" collapsed="false">
      <c r="Q92" s="280" t="s">
        <v>2694</v>
      </c>
      <c r="R92" s="280"/>
      <c r="S92" s="280" t="n">
        <f aca="false">MATCH(S87,$S$23:$S$82,0)</f>
        <v>15</v>
      </c>
      <c r="T92" s="280"/>
    </row>
    <row r="93" customFormat="false" ht="12.75" hidden="false" customHeight="false" outlineLevel="0" collapsed="false">
      <c r="Q93" s="487" t="s">
        <v>2695</v>
      </c>
      <c r="R93" s="280"/>
      <c r="S93" s="487" t="str">
        <f aca="false">INDEX($A$23:$A$82,$S$92)</f>
        <v>PHRAUS</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2696</v>
      </c>
      <c r="B2" s="284"/>
      <c r="C2" s="285" t="s">
        <v>2697</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2698</v>
      </c>
      <c r="B3" s="284"/>
      <c r="C3" s="283" t="s">
        <v>2699</v>
      </c>
      <c r="D3" s="294"/>
      <c r="E3" s="294"/>
      <c r="F3" s="295"/>
      <c r="G3" s="295"/>
      <c r="H3" s="296"/>
      <c r="I3" s="297"/>
      <c r="J3" s="296"/>
      <c r="K3" s="298" t="s">
        <v>2700</v>
      </c>
      <c r="L3" s="299"/>
      <c r="M3" s="300" t="s">
        <v>2701</v>
      </c>
      <c r="N3" s="301"/>
      <c r="O3" s="301"/>
      <c r="P3" s="302"/>
      <c r="Q3" s="280"/>
      <c r="R3" s="280"/>
      <c r="S3" s="280"/>
      <c r="T3" s="280"/>
      <c r="U3" s="280"/>
      <c r="V3" s="280"/>
      <c r="W3" s="292"/>
      <c r="X3" s="293"/>
    </row>
    <row r="4" customFormat="false" ht="13.5" hidden="false" customHeight="false" outlineLevel="0" collapsed="false">
      <c r="A4" s="303" t="s">
        <v>2702</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2.75"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2.75"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2.75"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2.75"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2.75"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2.75"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2.75"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2.75"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2687</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2688</v>
      </c>
      <c r="R86" s="280"/>
      <c r="S86" s="488"/>
      <c r="T86" s="280"/>
      <c r="U86" s="280"/>
      <c r="V86" s="280"/>
    </row>
    <row r="87" customFormat="false" ht="12.75" hidden="true" customHeight="false" outlineLevel="0" collapsed="false">
      <c r="P87" s="280"/>
      <c r="Q87" s="280" t="s">
        <v>2689</v>
      </c>
      <c r="R87" s="280"/>
      <c r="S87" s="488" t="n">
        <f aca="false">VLOOKUP(MAX($S$23:$S$82),($S$23:$U$82),1,0)</f>
        <v>0</v>
      </c>
      <c r="T87" s="280"/>
      <c r="U87" s="280"/>
      <c r="V87" s="280"/>
    </row>
    <row r="88" customFormat="false" ht="12.75" hidden="true" customHeight="false" outlineLevel="0" collapsed="false">
      <c r="P88" s="280"/>
      <c r="Q88" s="280" t="s">
        <v>2690</v>
      </c>
      <c r="R88" s="280"/>
      <c r="S88" s="488" t="n">
        <f aca="false">VLOOKUP((S87),($S$23:$U$82),2,0)</f>
        <v>0</v>
      </c>
      <c r="T88" s="280"/>
      <c r="U88" s="280"/>
      <c r="V88" s="280"/>
    </row>
    <row r="89" customFormat="false" ht="12.75" hidden="true" customHeight="false" outlineLevel="0" collapsed="false">
      <c r="Q89" s="280" t="s">
        <v>2691</v>
      </c>
      <c r="R89" s="280"/>
      <c r="S89" s="488" t="n">
        <f aca="false">VLOOKUP((S87),($S$23:$U$82),3,0)</f>
        <v>0</v>
      </c>
      <c r="T89" s="280"/>
    </row>
    <row r="90" customFormat="false" ht="12.75" hidden="false" customHeight="false" outlineLevel="0" collapsed="false">
      <c r="Q90" s="280" t="s">
        <v>2692</v>
      </c>
      <c r="R90" s="280"/>
      <c r="S90" s="538" t="str">
        <f aca="false">IF(ISERROR(SUM($T$23:$T$82)/SUM($U$23:$U$82)),"",(SUM($T$23:$T$82)-S88)/(SUM($U$23:$U$82)-S89))</f>
        <v/>
      </c>
      <c r="T90" s="280"/>
    </row>
    <row r="91" customFormat="false" ht="12.75" hidden="false" customHeight="false" outlineLevel="0" collapsed="false">
      <c r="Q91" s="487" t="s">
        <v>2693</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2694</v>
      </c>
      <c r="R92" s="280"/>
      <c r="S92" s="280" t="n">
        <f aca="false">MATCH(S87,$S$23:$S$82,0)</f>
        <v>1</v>
      </c>
      <c r="T92" s="280"/>
    </row>
    <row r="93" customFormat="false" ht="12.75" hidden="false" customHeight="false" outlineLevel="0" collapsed="false">
      <c r="Q93" s="487" t="s">
        <v>2695</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2703</v>
      </c>
      <c r="B1" s="549"/>
      <c r="C1" s="549"/>
      <c r="D1" s="549"/>
    </row>
    <row r="2" customFormat="false" ht="15" hidden="false" customHeight="false" outlineLevel="0" collapsed="false">
      <c r="A2" s="550" t="s">
        <v>2704</v>
      </c>
      <c r="B2" s="551"/>
      <c r="C2" s="552"/>
      <c r="D2" s="552"/>
    </row>
    <row r="3" customFormat="false" ht="15.75" hidden="false" customHeight="false" outlineLevel="0" collapsed="false">
      <c r="A3" s="550" t="s">
        <v>2705</v>
      </c>
      <c r="B3" s="551"/>
      <c r="C3" s="552"/>
      <c r="D3" s="553" t="s">
        <v>2706</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2707</v>
      </c>
      <c r="G15" s="571"/>
      <c r="H15" s="572" t="s">
        <v>2708</v>
      </c>
      <c r="I15" s="571"/>
    </row>
    <row r="16" customFormat="false" ht="15" hidden="false" customHeight="false" outlineLevel="0" collapsed="false">
      <c r="A16" s="567" t="s">
        <v>1708</v>
      </c>
      <c r="B16" s="566" t="s">
        <v>1709</v>
      </c>
      <c r="C16" s="568"/>
      <c r="D16" s="569"/>
      <c r="F16" s="573" t="s">
        <v>2709</v>
      </c>
      <c r="G16" s="574"/>
      <c r="H16" s="573" t="s">
        <v>2709</v>
      </c>
      <c r="I16" s="575"/>
    </row>
    <row r="17" customFormat="false" ht="15" hidden="false" customHeight="false" outlineLevel="0" collapsed="false">
      <c r="A17" s="565" t="s">
        <v>2127</v>
      </c>
      <c r="B17" s="566" t="s">
        <v>2128</v>
      </c>
      <c r="C17" s="568"/>
      <c r="D17" s="569"/>
      <c r="F17" s="576" t="s">
        <v>2710</v>
      </c>
      <c r="G17" s="577"/>
      <c r="H17" s="576" t="s">
        <v>2710</v>
      </c>
      <c r="I17" s="578"/>
    </row>
    <row r="18" customFormat="false" ht="15" hidden="false" customHeight="false" outlineLevel="0" collapsed="false">
      <c r="A18" s="565" t="s">
        <v>1212</v>
      </c>
      <c r="B18" s="566" t="s">
        <v>1213</v>
      </c>
      <c r="C18" s="568"/>
      <c r="D18" s="569"/>
      <c r="F18" s="576" t="s">
        <v>2711</v>
      </c>
      <c r="G18" s="577"/>
      <c r="H18" s="576" t="s">
        <v>2711</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2624</v>
      </c>
      <c r="G21" s="577"/>
      <c r="H21" s="576" t="s">
        <v>2624</v>
      </c>
      <c r="I21" s="578"/>
    </row>
    <row r="22" customFormat="false" ht="15" hidden="false" customHeight="false" outlineLevel="0" collapsed="false">
      <c r="A22" s="565" t="s">
        <v>1726</v>
      </c>
      <c r="B22" s="566" t="s">
        <v>1727</v>
      </c>
      <c r="C22" s="568"/>
      <c r="D22" s="569"/>
      <c r="F22" s="576" t="s">
        <v>2714</v>
      </c>
      <c r="G22" s="577"/>
      <c r="H22" s="576" t="s">
        <v>2714</v>
      </c>
      <c r="I22" s="578"/>
    </row>
    <row r="23" customFormat="false" ht="15" hidden="false" customHeight="false" outlineLevel="0" collapsed="false">
      <c r="A23" s="565" t="s">
        <v>2465</v>
      </c>
      <c r="B23" s="566" t="s">
        <v>2466</v>
      </c>
      <c r="C23" s="568"/>
      <c r="D23" s="569"/>
      <c r="F23" s="576" t="s">
        <v>2715</v>
      </c>
      <c r="G23" s="577"/>
      <c r="H23" s="576" t="s">
        <v>2715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2681</v>
      </c>
    </row>
    <row r="29" customFormat="false" ht="15" hidden="false" customHeight="false" outlineLevel="0" collapsed="false">
      <c r="A29" s="565" t="s">
        <v>1219</v>
      </c>
      <c r="B29" s="566" t="s">
        <v>1220</v>
      </c>
      <c r="C29" s="568"/>
      <c r="D29" s="569"/>
      <c r="F29" s="583" t="s">
        <v>2684</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2718</v>
      </c>
    </row>
    <row r="35" customFormat="false" ht="15" hidden="false" customHeight="false" outlineLevel="0" collapsed="false">
      <c r="A35" s="565" t="s">
        <v>52</v>
      </c>
      <c r="B35" s="566" t="s">
        <v>53</v>
      </c>
      <c r="C35" s="568"/>
      <c r="D35" s="569"/>
      <c r="F35" s="583" t="s">
        <v>2637</v>
      </c>
    </row>
    <row r="36" customFormat="false" ht="15" hidden="false" customHeight="false" outlineLevel="0" collapsed="false">
      <c r="A36" s="567" t="s">
        <v>320</v>
      </c>
      <c r="B36" s="566" t="s">
        <v>321</v>
      </c>
      <c r="C36" s="568"/>
      <c r="D36" s="569"/>
      <c r="F36" s="585" t="s">
        <v>2719</v>
      </c>
    </row>
    <row r="37" customFormat="false" ht="15" hidden="false" customHeight="false" outlineLevel="0" collapsed="false">
      <c r="A37" s="565" t="s">
        <v>2142</v>
      </c>
      <c r="B37" s="566" t="s">
        <v>2720</v>
      </c>
      <c r="C37" s="568"/>
      <c r="D37" s="569"/>
      <c r="F37" s="585" t="s">
        <v>2721</v>
      </c>
    </row>
    <row r="38" customFormat="false" ht="15" hidden="false" customHeight="false" outlineLevel="0" collapsed="false">
      <c r="A38" s="565" t="s">
        <v>2145</v>
      </c>
      <c r="B38" s="566" t="s">
        <v>2146</v>
      </c>
      <c r="C38" s="568"/>
      <c r="D38" s="569"/>
      <c r="F38" s="585" t="s">
        <v>2722</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2013-11-13T15:17:03Z</cp:lastPrinted>
  <dcterms:modified xsi:type="dcterms:W3CDTF">2015-01-23T10:00:27Z</dcterms:modified>
  <cp:revision>0</cp:revision>
  <dc:subject/>
  <dc:title>Feuille d'aide au calcul de l'IBMR</dc:title>
</cp:coreProperties>
</file>