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Aiguillon à Goudargues" sheetId="7" state="visible" r:id="rId9"/>
    <sheet name="modele" sheetId="8" state="hidden" r:id="rId10"/>
    <sheet name="liste codes réf" sheetId="9" state="hidden" r:id="rId11"/>
  </sheets>
  <definedNames>
    <definedName function="false" hidden="false" localSheetId="6" name="_xlnm.Print_Area" vbProcedure="false">'Aiguillon à Goudargues'!$A$1:$O$82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'Aiguillon à Goudargues'!$A$23:$J$84</definedName>
    <definedName function="false" hidden="false" localSheetId="6" name="NOM" vbProcedure="false">'Aiguillon à Goudargues'!$H$1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<sst xmlns="http://schemas.openxmlformats.org/spreadsheetml/2006/main" count="7516" uniqueCount="2754">
  <si>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</si>
  <si>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</si>
  <si>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</si>
  <si>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</si>
  <si>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</si>
  <si>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</si>
  <si>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</si>
  <si>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</si>
  <si>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</si>
  <si>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</si>
  <si>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</si>
  <si>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</si>
  <si>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</si>
  <si>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</si>
  <si>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</si>
  <si>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</si>
  <si>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</si>
  <si>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</si>
  <si>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</si>
  <si>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</si>
  <si>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</si>
  <si>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</si>
  <si>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</si>
  <si>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</si>
  <si>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</si>
  <si>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</si>
  <si>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</si>
  <si>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</si>
  <si>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</si>
  <si>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</si>
  <si>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</si>
  <si>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</si>
  <si>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</si>
  <si>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</si>
  <si>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</si>
  <si>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</si>
  <si>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</si>
  <si>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</si>
  <si>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</si>
  <si>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</si>
  <si>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</si>
  <si>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</si>
  <si>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</si>
  <si>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</si>
  <si>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</si>
  <si>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</si>
  <si>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</si>
  <si>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</si>
  <si>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</si>
  <si>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</si>
  <si>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</si>
  <si>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</si>
  <si>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</si>
  <si>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</si>
  <si>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</si>
  <si>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</si>
  <si>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</si>
  <si>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</si>
  <si>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</si>
  <si>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</si>
  <si>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</si>
  <si>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</si>
  <si>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</si>
  <si>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</si>
  <si>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</si>
  <si>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</si>
  <si>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</si>
  <si>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</si>
  <si>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</si>
  <si>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</si>
  <si>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</si>
  <si>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</si>
  <si>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</si>
  <si>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</si>
  <si>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</si>
  <si>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</si>
  <si>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</si>
  <si>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</si>
  <si>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</si>
  <si>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</si>
  <si>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</si>
  <si>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</si>
  <si>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</si>
  <si>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</si>
  <si>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</si>
  <si>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</si>
  <si>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</si>
  <si>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</si>
  <si>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</si>
  <si>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</si>
  <si>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</si>
  <si>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</si>
  <si>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</si>
  <si>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</si>
  <si>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</si>
  <si>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</si>
  <si>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</si>
  <si>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</si>
  <si>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</si>
  <si>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</si>
  <si>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</si>
  <si>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</si>
  <si>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</si>
  <si>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</si>
  <si>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</si>
  <si>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</si>
  <si>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</si>
  <si>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</si>
  <si>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</si>
  <si>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</si>
  <si>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</si>
  <si>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</si>
  <si>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</si>
  <si>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</si>
  <si>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</si>
  <si>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</si>
  <si>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</si>
  <si>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</si>
  <si>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</si>
  <si>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</si>
  <si>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</si>
  <si>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</si>
  <si>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</si>
  <si>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</si>
  <si>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</si>
  <si>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</si>
  <si>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</si>
  <si>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</si>
  <si>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</si>
  <si>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</si>
  <si>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</si>
  <si>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</si>
  <si>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</si>
  <si>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</si>
  <si>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</si>
  <si>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</si>
  <si>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</si>
  <si>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</si>
  <si>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</si>
  <si>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</si>
  <si>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</si>
  <si>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</si>
  <si>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</si>
  <si>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</si>
  <si>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</si>
  <si>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</si>
  <si>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</si>
  <si>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</si>
  <si>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</si>
  <si>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</si>
  <si>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</si>
  <si>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</si>
  <si>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</si>
  <si>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</si>
  <si>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</si>
  <si>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</si>
  <si>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</si>
  <si>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</si>
  <si>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</si>
  <si>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</si>
  <si>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</si>
  <si>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</si>
  <si>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</si>
  <si>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</si>
  <si>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</si>
  <si>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</si>
  <si>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</si>
  <si>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</si>
  <si>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</si>
  <si>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</si>
  <si>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</si>
  <si>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</si>
  <si>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</si>
  <si>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</si>
  <si>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</si>
  <si>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</si>
  <si>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</si>
  <si>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</si>
  <si>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</si>
  <si>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</si>
  <si>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</si>
  <si>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</si>
  <si>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</si>
  <si>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</si>
  <si>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</si>
  <si>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</si>
  <si>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</si>
  <si>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</si>
  <si>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</si>
  <si>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</si>
  <si>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</si>
  <si>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</si>
  <si>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</si>
  <si>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</si>
  <si>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</si>
  <si>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</si>
  <si>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</si>
  <si>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</si>
  <si>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</si>
  <si>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</si>
  <si>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</si>
  <si>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</si>
  <si>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</si>
  <si>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</si>
  <si>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</si>
  <si>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</si>
  <si>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</si>
  <si>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</si>
  <si>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</si>
  <si>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</si>
  <si>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</si>
  <si>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</si>
  <si>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</si>
  <si>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</si>
  <si>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</si>
  <si>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</si>
  <si>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</si>
  <si>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</si>
  <si>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</si>
  <si>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</si>
  <si>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</si>
  <si>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</si>
  <si>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</si>
  <si>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</si>
  <si>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</si>
  <si>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</si>
  <si>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</si>
  <si>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</si>
  <si>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</si>
  <si>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</si>
  <si>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</si>
  <si>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</si>
  <si>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</si>
  <si>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</si>
  <si>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</si>
  <si>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</si>
  <si>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</si>
  <si>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</si>
  <si>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</si>
  <si>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</si>
  <si>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</si>
  <si>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</si>
  <si>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</si>
  <si>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</si>
  <si>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</si>
  <si>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</si>
  <si>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</si>
  <si>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</si>
  <si>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</si>
  <si>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</si>
  <si>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</si>
  <si>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</si>
  <si>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</si>
  <si>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</si>
  <si>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</si>
  <si>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</si>
  <si>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</si>
  <si>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</si>
  <si>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</si>
  <si>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</si>
  <si>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</si>
  <si>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</si>
  <si>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</si>
  <si>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</si>
  <si>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</si>
  <si>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</si>
  <si>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</si>
  <si>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</si>
  <si>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</si>
  <si>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</si>
  <si>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</si>
  <si>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</si>
  <si>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</si>
  <si>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</si>
  <si>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</si>
  <si>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</si>
  <si>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</si>
  <si>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</si>
  <si>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</si>
  <si>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</si>
  <si>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</si>
  <si>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</si>
  <si>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</si>
  <si>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</si>
  <si>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</si>
  <si>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</si>
  <si>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</si>
  <si>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</si>
  <si>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</si>
  <si>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</si>
  <si>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</si>
  <si>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</si>
  <si>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</si>
  <si>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</si>
  <si>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</si>
  <si>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</si>
  <si>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</si>
  <si>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</si>
  <si>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</si>
  <si>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</si>
  <si>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</si>
  <si>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</si>
  <si>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</si>
  <si>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</si>
  <si>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</si>
  <si>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</si>
  <si>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</si>
  <si>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</si>
  <si>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</si>
  <si>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</si>
  <si>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</si>
  <si>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</si>
  <si>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</si>
  <si>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</si>
  <si>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</si>
  <si>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</si>
  <si>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</si>
  <si>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</si>
  <si>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</si>
  <si>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</si>
  <si>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</si>
  <si>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</si>
  <si>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</si>
  <si>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</si>
  <si>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</si>
  <si>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</si>
  <si>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</si>
  <si>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</si>
  <si>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</si>
  <si>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</si>
  <si>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</si>
  <si>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</si>
  <si>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</si>
  <si>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</si>
  <si>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</si>
  <si>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</si>
  <si>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</si>
  <si>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</si>
  <si>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</si>
  <si>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</si>
  <si>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</si>
  <si>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</si>
  <si>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</si>
  <si>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</si>
  <si>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</si>
  <si>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</si>
  <si>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</si>
  <si>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</si>
  <si>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</si>
  <si>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</si>
  <si>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</si>
  <si>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</si>
  <si>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</si>
  <si>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</si>
  <si>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</si>
  <si>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</si>
  <si>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</si>
  <si>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</si>
  <si>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</si>
  <si>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</si>
  <si>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</si>
  <si>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</si>
  <si>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</si>
  <si>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</si>
  <si>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</si>
  <si>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</si>
  <si>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</si>
  <si>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</si>
  <si>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</si>
  <si>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</si>
  <si>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</si>
  <si>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</si>
  <si>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</si>
  <si>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</si>
  <si>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</si>
  <si>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</si>
  <si>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</si>
  <si>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</si>
  <si>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</si>
  <si>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</si>
  <si>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</si>
  <si>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</si>
  <si>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</si>
  <si>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</si>
  <si>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</si>
  <si>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</si>
  <si>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</si>
  <si>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</si>
  <si>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</si>
  <si>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</si>
  <si>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</si>
  <si>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</si>
  <si>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</si>
  <si>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</si>
  <si>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</si>
  <si>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</si>
  <si>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</si>
  <si>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</si>
  <si>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</si>
  <si>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</si>
  <si>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</si>
  <si>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</si>
  <si>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</si>
  <si>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</si>
  <si>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</si>
  <si>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</si>
  <si>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</si>
  <si>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</si>
  <si>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</si>
  <si>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</si>
  <si>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</si>
  <si>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</si>
  <si>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</si>
  <si>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</si>
  <si>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</si>
  <si>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</si>
  <si>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</si>
  <si>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</si>
  <si>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</si>
  <si>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</si>
  <si>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</si>
  <si>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</si>
  <si>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</si>
  <si>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</si>
  <si>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</si>
  <si>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</si>
  <si>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</si>
  <si>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</si>
  <si>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</si>
  <si>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</si>
  <si>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</si>
  <si>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</si>
  <si>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</si>
  <si>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</si>
  <si>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</si>
  <si>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</si>
  <si>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</si>
  <si>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</si>
  <si>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</si>
  <si>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</si>
  <si>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</si>
  <si>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</si>
  <si>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</si>
  <si>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</si>
  <si>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</si>
  <si>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</si>
  <si>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</si>
  <si>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</si>
  <si>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</si>
  <si>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</si>
  <si>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</si>
  <si>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</si>
  <si>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</si>
  <si>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</si>
  <si>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</si>
  <si>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</si>
  <si>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</si>
  <si>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</si>
  <si>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</si>
  <si>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</si>
  <si>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</si>
  <si>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</si>
  <si>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</si>
  <si>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</si>
  <si>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</si>
  <si>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</si>
  <si>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</si>
  <si>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</si>
  <si>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</si>
  <si>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</si>
  <si>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</si>
  <si>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</si>
  <si>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</si>
  <si>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</si>
  <si>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</si>
  <si>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</si>
  <si>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</si>
  <si>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</si>
  <si>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</si>
  <si>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</si>
  <si>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</si>
  <si>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</si>
  <si>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</si>
  <si>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</si>
  <si>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</si>
  <si>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</si>
  <si>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</si>
  <si>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</si>
  <si>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</si>
  <si>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</si>
  <si>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</si>
  <si>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</si>
  <si>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</si>
  <si>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</si>
  <si>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</si>
  <si>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</si>
  <si>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</si>
  <si>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</si>
  <si>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</si>
  <si>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</si>
  <si>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</si>
  <si>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</si>
  <si>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</si>
  <si>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</si>
  <si>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</si>
  <si>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</si>
  <si>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</si>
  <si>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</si>
  <si>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</si>
  <si>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</si>
  <si>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</si>
  <si>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</si>
  <si>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</si>
  <si>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</si>
  <si>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</si>
  <si>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</si>
  <si>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</si>
  <si>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</si>
  <si>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</si>
  <si>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</si>
  <si>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</si>
  <si>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</si>
  <si>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</si>
  <si>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</si>
  <si>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</si>
  <si>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</si>
  <si>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</si>
  <si>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</si>
  <si>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</si>
  <si>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</si>
  <si>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</si>
  <si>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</si>
  <si>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</si>
  <si>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</si>
  <si>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</si>
  <si>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</si>
  <si>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</si>
  <si>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</si>
  <si>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</si>
  <si>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</si>
  <si>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</si>
  <si>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</si>
  <si>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</si>
  <si>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</si>
  <si>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</si>
  <si>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</si>
  <si>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</si>
  <si>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</si>
  <si>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</si>
  <si>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</si>
  <si>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</si>
  <si>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</si>
  <si>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</si>
  <si>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</si>
  <si>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</si>
  <si>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</si>
  <si>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</si>
  <si>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</si>
  <si>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</si>
  <si>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</si>
  <si>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</si>
  <si>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</si>
  <si>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</si>
  <si>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</si>
  <si>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</si>
  <si>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</si>
  <si>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</si>
  <si>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</si>
  <si>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</si>
  <si>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</si>
  <si>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</si>
  <si>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</si>
  <si>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</si>
  <si>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</si>
  <si>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</si>
  <si>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</si>
  <si>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</si>
  <si>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</si>
  <si>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</si>
  <si>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</si>
  <si>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</si>
  <si>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</si>
  <si>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</si>
  <si>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</si>
  <si>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</si>
  <si>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</si>
  <si>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</si>
  <si>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</si>
  <si>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</si>
  <si>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</si>
  <si>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</si>
  <si>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</si>
  <si>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</si>
  <si>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</si>
  <si>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</si>
  <si>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</si>
  <si>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</si>
  <si>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</si>
  <si>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</si>
  <si>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</si>
  <si>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</si>
  <si>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</si>
  <si>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</si>
  <si>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</si>
  <si>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</si>
  <si>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</si>
  <si>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</si>
  <si>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</si>
  <si>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</si>
  <si>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</si>
  <si>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</si>
  <si>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</si>
  <si>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</si>
  <si>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</si>
  <si>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</si>
  <si>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</si>
  <si>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</si>
  <si>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</si>
  <si>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</si>
  <si>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</si>
  <si>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</si>
  <si>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</si>
  <si>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</si>
  <si>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</si>
  <si>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</si>
  <si>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</si>
  <si>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</si>
  <si>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</si>
  <si>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</si>
  <si>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</si>
  <si>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</si>
  <si>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</si>
  <si>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</si>
  <si>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</si>
  <si>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</si>
  <si>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</si>
  <si>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</si>
  <si>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</si>
  <si>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</si>
  <si>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</si>
  <si>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</si>
  <si>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</si>
  <si>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</si>
  <si>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</si>
  <si>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</si>
  <si>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</si>
  <si>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</si>
  <si>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</si>
  <si>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</si>
  <si>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</si>
  <si>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</si>
  <si>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</si>
  <si>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</si>
  <si>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</si>
  <si>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</si>
  <si>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</si>
  <si>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</si>
  <si>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</si>
  <si>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</si>
  <si>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</si>
  <si>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</si>
  <si>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</si>
  <si>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</si>
  <si>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</si>
  <si>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</si>
  <si>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</si>
  <si>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</si>
  <si>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</si>
  <si>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</si>
  <si>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</si>
  <si>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</si>
  <si>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</si>
  <si>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</si>
  <si>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</si>
  <si>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</si>
  <si>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</si>
  <si>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</si>
  <si>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</si>
  <si>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</si>
  <si>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</si>
  <si>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</si>
  <si>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</si>
  <si>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</si>
  <si>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</si>
  <si>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</si>
  <si>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</si>
  <si>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</si>
  <si>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</si>
  <si>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</si>
  <si>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</si>
  <si>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</si>
  <si>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</si>
  <si>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</si>
  <si>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</si>
  <si>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</si>
  <si>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</si>
  <si>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</si>
  <si>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</si>
  <si>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</si>
  <si>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</si>
  <si>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</si>
  <si>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</si>
  <si>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</si>
  <si>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</si>
  <si>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</si>
  <si>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</si>
  <si>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</si>
  <si>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</si>
  <si>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</si>
  <si>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</si>
  <si>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</si>
  <si>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</si>
  <si>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</si>
  <si>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</si>
  <si>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</si>
  <si>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</si>
  <si>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</si>
  <si>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</si>
  <si>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</si>
  <si>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</si>
  <si>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</si>
  <si>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</si>
  <si>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</si>
  <si>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</si>
  <si>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</si>
  <si>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</si>
  <si>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</si>
  <si>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</si>
  <si>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</si>
  <si>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</si>
  <si>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</si>
  <si>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</si>
  <si>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</si>
  <si>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</si>
  <si>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</si>
  <si>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</si>
  <si>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</si>
  <si>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</si>
  <si>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</si>
  <si>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</si>
  <si>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</si>
  <si>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</si>
  <si>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</si>
  <si>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</si>
  <si>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</si>
  <si>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</si>
  <si>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</si>
  <si>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</si>
  <si>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</si>
  <si>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</si>
  <si>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</si>
  <si>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</si>
  <si>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</si>
  <si>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</si>
  <si>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</si>
  <si>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</si>
  <si>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</si>
  <si>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</si>
  <si>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</si>
  <si>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</si>
  <si>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</si>
  <si>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</si>
  <si>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</si>
  <si>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</si>
  <si>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</si>
  <si>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</si>
  <si>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</si>
  <si>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</si>
  <si>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</si>
  <si>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</si>
  <si>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</si>
  <si>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</si>
  <si>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</si>
  <si>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</si>
  <si>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</si>
  <si>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</si>
  <si>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</si>
  <si>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</si>
  <si>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</si>
  <si>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</si>
  <si>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</si>
  <si>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</si>
  <si>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</si>
  <si>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</si>
  <si>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</si>
  <si>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</si>
  <si>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</si>
  <si>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</si>
  <si>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</si>
  <si>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</si>
  <si>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</si>
  <si>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</si>
  <si>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</si>
  <si>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</si>
  <si>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</si>
  <si>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</si>
  <si>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</si>
  <si>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</si>
  <si>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</si>
  <si>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</si>
  <si>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</si>
  <si>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</si>
  <si>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</si>
  <si>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</si>
  <si>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</si>
  <si>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</si>
  <si>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</si>
  <si>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</si>
  <si>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</si>
  <si>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</si>
  <si>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</si>
  <si>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</si>
  <si>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</si>
  <si>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</si>
  <si>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</si>
  <si>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</si>
  <si>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</si>
  <si>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</si>
  <si>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</si>
  <si>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</si>
  <si>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</si>
  <si>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</si>
  <si>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</si>
  <si>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</si>
  <si>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</si>
  <si>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</si>
  <si>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</si>
  <si>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</si>
  <si>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</si>
  <si>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</si>
  <si>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</si>
  <si>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</si>
  <si>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</si>
  <si>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</si>
  <si>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</si>
  <si>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</si>
  <si>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</si>
  <si>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</si>
  <si>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</si>
  <si>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</si>
  <si>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</si>
  <si>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</si>
  <si>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</si>
  <si>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</si>
  <si>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</si>
  <si>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</si>
  <si>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</si>
  <si>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</si>
  <si>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</si>
  <si>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</si>
  <si>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</si>
  <si>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</si>
  <si>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</si>
  <si>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</si>
  <si>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</si>
  <si>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</si>
  <si>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</si>
  <si>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</si>
  <si>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</si>
  <si>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</si>
  <si>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</si>
  <si>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</si>
  <si>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</si>
  <si>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</si>
  <si>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</si>
  <si>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</si>
  <si>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</si>
  <si>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</si>
  <si>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</si>
  <si>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</si>
  <si>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</si>
  <si>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</si>
  <si>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</si>
  <si>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</si>
  <si>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</si>
  <si>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</si>
  <si>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</si>
  <si>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</si>
  <si>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</si>
  <si>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</si>
  <si>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</si>
  <si>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</si>
  <si>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</si>
  <si>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</si>
  <si>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</si>
  <si>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</si>
  <si>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</si>
  <si>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</si>
  <si>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</si>
  <si>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</si>
  <si>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</si>
  <si>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</si>
  <si>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</si>
  <si>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</si>
  <si>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</si>
  <si>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</si>
  <si>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</si>
  <si>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</si>
  <si>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</si>
  <si>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</si>
  <si>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</si>
  <si>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</si>
  <si>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</si>
  <si>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</si>
  <si>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</si>
  <si>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</si>
  <si>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</si>
  <si>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</si>
  <si>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</si>
  <si>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</si>
  <si>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</si>
  <si>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</si>
  <si>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</si>
  <si>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</si>
  <si>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</si>
  <si>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</si>
  <si>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</si>
  <si>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</si>
  <si>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</si>
  <si>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</si>
  <si>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</si>
  <si>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</si>
  <si>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</si>
  <si>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</si>
  <si>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</si>
  <si>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</si>
  <si>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</si>
  <si>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</si>
  <si>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</si>
  <si>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</si>
  <si>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</si>
  <si>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</si>
  <si>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</si>
  <si>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</si>
  <si>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</si>
  <si>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</si>
  <si>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</si>
  <si>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</si>
  <si>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</si>
  <si>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</si>
  <si>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</si>
  <si>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</si>
  <si>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</si>
  <si>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</si>
  <si>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</si>
  <si>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</si>
  <si>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</si>
  <si>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</si>
  <si>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</si>
  <si>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</si>
  <si>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</si>
  <si>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</si>
  <si>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</si>
  <si>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</si>
  <si>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</si>
  <si>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</si>
  <si>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</si>
  <si>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</si>
  <si>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</si>
  <si>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</si>
  <si>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</si>
  <si>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</si>
  <si>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</si>
  <si>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</si>
  <si>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</si>
  <si>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</si>
  <si>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</si>
  <si>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</si>
  <si>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</si>
  <si>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</si>
  <si>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</si>
  <si>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</si>
  <si>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</si>
  <si>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</si>
  <si>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</si>
  <si>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</si>
  <si>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</si>
  <si>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</si>
  <si>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</si>
  <si>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</si>
  <si>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</si>
  <si>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</si>
  <si>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</si>
  <si>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</si>
  <si>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</si>
  <si>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</si>
  <si>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</si>
  <si>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</si>
  <si>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</si>
  <si>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</si>
  <si>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</si>
  <si>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</si>
  <si>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</si>
  <si>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</si>
  <si>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</si>
  <si>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</si>
  <si>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</si>
  <si>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</si>
  <si>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</si>
  <si>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</si>
  <si>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</si>
  <si>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</si>
  <si>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</si>
  <si>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</si>
  <si>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</si>
  <si>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</si>
  <si>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</si>
  <si>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</si>
  <si>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</si>
  <si>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</si>
  <si>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</si>
  <si>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</si>
  <si>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</si>
  <si>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</si>
  <si>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</si>
  <si>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</si>
  <si>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</si>
  <si>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</si>
  <si>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</si>
  <si>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</si>
  <si>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</si>
  <si>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</si>
  <si>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</si>
  <si>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</si>
  <si>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</si>
  <si>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</si>
  <si>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</si>
  <si>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</si>
  <si>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</si>
  <si>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</si>
  <si>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</si>
  <si>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</si>
  <si>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</si>
  <si>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</si>
  <si>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</si>
  <si>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</si>
  <si>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</si>
  <si>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</si>
  <si>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</si>
  <si>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</si>
  <si>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</si>
  <si>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</si>
  <si>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</si>
  <si>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</si>
  <si>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</si>
  <si>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</si>
  <si>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</si>
  <si>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</si>
  <si>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</si>
  <si>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</si>
  <si>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</si>
  <si>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</si>
  <si>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</si>
  <si>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</si>
  <si>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</si>
  <si>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</si>
  <si>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</si>
  <si>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</si>
  <si>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</si>
  <si>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</si>
  <si>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</si>
  <si>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</si>
  <si>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</si>
  <si>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</si>
  <si>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</si>
  <si>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</si>
  <si>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</si>
  <si>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</si>
  <si>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</si>
  <si>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</si>
  <si>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</si>
  <si>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</si>
  <si>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</si>
  <si>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</si>
  <si>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</si>
  <si>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</si>
  <si>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</si>
  <si>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</si>
  <si>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</si>
  <si>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</si>
  <si>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</si>
  <si>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</si>
  <si>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</si>
  <si>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</si>
  <si>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</si>
  <si>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</si>
  <si>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</si>
  <si>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</si>
  <si>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</si>
  <si>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</si>
  <si>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</si>
  <si>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</si>
  <si>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</si>
  <si>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</si>
  <si>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</si>
  <si>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</si>
  <si>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</si>
  <si>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</si>
  <si>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</si>
  <si>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</si>
  <si>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</si>
  <si>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</si>
  <si>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</si>
  <si>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</si>
  <si>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</si>
  <si>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</si>
  <si>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</si>
  <si>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</si>
  <si>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</si>
  <si>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</si>
  <si>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</si>
  <si>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</si>
  <si>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</si>
  <si>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</si>
  <si>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</si>
  <si>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</si>
  <si>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</si>
  <si>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</si>
  <si>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</si>
  <si>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</si>
  <si>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</si>
  <si>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</si>
  <si>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</si>
  <si>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</si>
  <si>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</si>
  <si>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</si>
  <si>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</si>
  <si>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</si>
  <si>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</si>
  <si>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</si>
  <si>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</si>
  <si>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</si>
  <si>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</si>
  <si>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</si>
  <si>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</si>
  <si>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</si>
  <si>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</si>
  <si>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</si>
  <si>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</si>
  <si>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</si>
  <si>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</si>
  <si>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</si>
  <si>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</si>
  <si>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</si>
  <si>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</si>
  <si>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</si>
  <si>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</si>
  <si>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</si>
  <si>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</si>
  <si>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</si>
  <si>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</si>
  <si>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</si>
  <si>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</si>
  <si>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</si>
  <si>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</si>
  <si>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</si>
  <si>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</si>
  <si>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</si>
  <si>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</si>
  <si>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</si>
  <si>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</si>
  <si>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</si>
  <si>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</si>
  <si>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</si>
  <si>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</si>
  <si>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</si>
  <si>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</si>
  <si>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</si>
  <si>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</si>
  <si>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</si>
  <si>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</si>
  <si>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</si>
  <si>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</si>
  <si>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</si>
  <si>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</si>
  <si>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</si>
  <si>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</si>
  <si>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</si>
  <si>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</si>
  <si>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</si>
  <si>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</si>
  <si>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</si>
  <si>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</si>
  <si>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</si>
  <si>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</si>
  <si>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</si>
  <si>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</si>
  <si>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</si>
  <si>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</si>
  <si>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</si>
  <si>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</si>
  <si>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</si>
  <si>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</si>
  <si>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</si>
  <si>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</si>
  <si>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</si>
  <si>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</si>
  <si>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</si>
  <si>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</si>
  <si>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</si>
  <si>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</si>
  <si>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</si>
  <si>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</si>
  <si>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</si>
  <si>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</si>
  <si>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</si>
  <si>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</si>
  <si>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</si>
  <si>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</si>
  <si>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</si>
  <si>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</si>
  <si>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</si>
  <si>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</si>
  <si>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</si>
  <si>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</si>
  <si>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</si>
  <si>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</si>
  <si>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</si>
  <si>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</si>
  <si>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</si>
  <si>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</si>
  <si>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</si>
  <si>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</si>
  <si>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</si>
  <si>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</si>
  <si>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</si>
  <si>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</si>
  <si>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</si>
  <si>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</si>
  <si>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</si>
  <si>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</si>
  <si>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</si>
  <si>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</si>
  <si>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</si>
  <si>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</si>
  <si>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</si>
  <si>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</si>
  <si>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</si>
  <si>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</si>
  <si>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</si>
  <si>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</si>
  <si>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</si>
  <si>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</si>
  <si>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</si>
  <si>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</si>
  <si>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</si>
  <si>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</si>
  <si>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</si>
  <si>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</si>
  <si>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</si>
  <si>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</si>
  <si>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</si>
  <si>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</si>
  <si>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</si>
  <si>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</si>
  <si>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</si>
  <si>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</si>
  <si>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</si>
  <si>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</si>
  <si>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</si>
  <si>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</si>
  <si>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</si>
  <si>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</si>
  <si>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</si>
  <si>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</si>
  <si>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</si>
  <si>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</si>
  <si>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</si>
  <si>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</si>
  <si>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</si>
  <si>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</si>
  <si>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</si>
  <si>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</si>
  <si>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</si>
  <si>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</si>
  <si>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</si>
  <si>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</si>
  <si>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</si>
  <si>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</si>
  <si>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</si>
  <si>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</si>
  <si>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</si>
  <si>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</si>
  <si>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</si>
  <si>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</si>
  <si>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</si>
  <si>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</si>
  <si>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</si>
  <si>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</si>
  <si>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</si>
  <si>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</si>
  <si>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</si>
  <si>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</si>
  <si>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</si>
  <si>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</si>
  <si>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</si>
  <si>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</si>
  <si>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</si>
  <si>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</si>
  <si>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</si>
  <si>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</si>
  <si>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</si>
  <si>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</si>
  <si>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</si>
  <si>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</si>
  <si>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</si>
  <si>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</si>
  <si>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</si>
  <si>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</si>
  <si>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</si>
  <si>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</si>
  <si>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</si>
  <si>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</si>
  <si>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</si>
  <si>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</si>
  <si>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</si>
  <si>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</si>
  <si>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</si>
  <si>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</si>
  <si>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</si>
  <si>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</si>
  <si>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</si>
  <si>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</si>
  <si>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</si>
  <si>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</si>
  <si>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</si>
  <si>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</si>
  <si>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</si>
  <si>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</si>
  <si>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</si>
  <si>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</si>
  <si>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</si>
  <si>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</si>
  <si>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</si>
  <si>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</si>
  <si>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</si>
  <si>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</si>
  <si>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</si>
  <si>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</si>
  <si>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</si>
  <si>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</si>
  <si>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</si>
  <si>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</si>
  <si>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</si>
  <si>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</si>
  <si>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</si>
  <si>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</si>
  <si>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</si>
  <si>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</si>
  <si>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</si>
  <si>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</si>
  <si>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</si>
  <si>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</si>
  <si>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</si>
  <si>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</si>
  <si>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</si>
  <si>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</si>
  <si>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</si>
  <si>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</si>
  <si>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</si>
  <si>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</si>
  <si>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</si>
  <si>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</si>
  <si>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</si>
  <si>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</si>
  <si>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</si>
  <si>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</si>
  <si>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</si>
  <si>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</si>
  <si>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</si>
  <si>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</si>
  <si>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</si>
  <si>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</si>
  <si>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</si>
  <si>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</si>
  <si>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</si>
  <si>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</si>
  <si>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</si>
  <si>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</si>
  <si>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</si>
  <si>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</si>
  <si>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</si>
  <si>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</si>
  <si>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</si>
  <si>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</si>
  <si>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</si>
  <si>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</si>
  <si>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</si>
  <si>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</si>
  <si>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</si>
  <si>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</si>
  <si>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</si>
  <si>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</si>
  <si>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</si>
  <si>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</si>
  <si>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</si>
  <si>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</si>
  <si>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</si>
  <si>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</si>
  <si>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</si>
  <si>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</si>
  <si>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</si>
  <si>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</si>
  <si>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</si>
  <si>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</si>
  <si>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</si>
  <si>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</si>
  <si>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</si>
  <si>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</si>
  <si>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</si>
  <si>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</si>
  <si>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</si>
  <si>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</si>
  <si>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</si>
  <si>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</si>
  <si>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</si>
  <si>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</si>
  <si>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</si>
  <si>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</si>
  <si>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</si>
  <si>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</si>
  <si>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</si>
  <si>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</si>
  <si>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</si>
  <si>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</si>
  <si>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</si>
  <si>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</si>
  <si>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</si>
  <si>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</si>
  <si>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</si>
  <si>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</si>
  <si>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</si>
  <si>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</si>
  <si>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</si>
  <si>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</si>
  <si>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</si>
  <si>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</si>
  <si>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</si>
  <si>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</si>
  <si>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</si>
  <si>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</si>
  <si>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</si>
  <si>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</si>
  <si>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</si>
  <si>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</si>
  <si>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</si>
  <si>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</si>
  <si>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</si>
  <si>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</si>
  <si>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</si>
  <si>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</si>
  <si>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</si>
  <si>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</si>
  <si>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</si>
  <si>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</si>
  <si>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</si>
  <si>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</si>
  <si>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</si>
  <si>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</si>
  <si>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</si>
  <si>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</si>
  <si>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</si>
  <si>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</si>
  <si>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</si>
  <si>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</si>
  <si>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</si>
  <si>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</si>
  <si>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</si>
  <si>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</si>
  <si>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</si>
  <si>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</si>
  <si>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</si>
  <si>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</si>
  <si>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</si>
  <si>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</si>
  <si>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</si>
  <si>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</si>
  <si>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</si>
  <si>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</si>
  <si>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</si>
  <si>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</si>
  <si>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</si>
  <si>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</si>
  <si>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</si>
  <si>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</si>
  <si>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</si>
  <si>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</si>
  <si>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</si>
  <si>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</si>
  <si>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</si>
  <si>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</si>
  <si>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</si>
  <si>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</si>
  <si>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</si>
  <si>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</si>
  <si>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</si>
  <si>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</si>
  <si>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</si>
  <si>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</si>
  <si>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</si>
  <si>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</si>
  <si>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</si>
  <si>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</si>
  <si>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</si>
  <si>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</si>
  <si>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</si>
  <si>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</si>
  <si>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</si>
  <si>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</si>
  <si>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</si>
  <si>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</si>
  <si>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</si>
  <si>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</si>
  <si>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</si>
  <si>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</si>
  <si>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</si>
  <si>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</si>
  <si>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</si>
  <si>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</si>
  <si>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</si>
  <si>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</si>
  <si>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</si>
  <si>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</si>
  <si>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</si>
  <si>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</si>
  <si>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</si>
  <si>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</si>
  <si>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</si>
  <si>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</si>
  <si>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</si>
  <si>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</si>
  <si>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</si>
  <si>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</si>
  <si>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</si>
  <si>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</si>
  <si>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</si>
  <si>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</si>
  <si>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</si>
  <si>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</si>
  <si>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</si>
  <si>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</si>
  <si>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</si>
  <si>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</si>
  <si>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</si>
  <si>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</si>
  <si>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</si>
  <si>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</si>
  <si>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</si>
  <si>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</si>
  <si>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</si>
  <si>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</si>
  <si>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</si>
  <si>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</si>
  <si>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</si>
  <si>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</si>
  <si>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</si>
  <si>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</si>
  <si>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</si>
  <si>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</si>
  <si>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</si>
  <si>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</si>
  <si>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</si>
  <si>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</si>
  <si>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</si>
  <si>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</si>
  <si>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</si>
  <si>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</si>
  <si>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</si>
  <si>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</si>
  <si>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</si>
  <si>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</si>
  <si>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</si>
  <si>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</si>
  <si>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</si>
  <si>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</si>
  <si>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</si>
  <si>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</si>
  <si>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</si>
  <si>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</si>
  <si>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</si>
  <si>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</si>
  <si>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</si>
  <si>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</si>
  <si>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</si>
  <si>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</si>
  <si>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</si>
  <si>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</si>
  <si>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</si>
  <si>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</si>
  <si>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</si>
  <si>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</si>
  <si>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</si>
  <si>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</si>
  <si>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</si>
  <si>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</si>
  <si>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</si>
  <si>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</si>
  <si>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</si>
  <si>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</si>
  <si>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</si>
  <si>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</si>
  <si>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</si>
  <si>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</si>
  <si>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</si>
  <si>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</si>
  <si>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</si>
  <si>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</si>
  <si>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</si>
  <si>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</si>
  <si>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</si>
  <si>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</si>
  <si>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</si>
  <si>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</si>
  <si>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</si>
  <si>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</si>
  <si>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</si>
  <si>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</si>
  <si>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</si>
  <si>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</si>
  <si>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</si>
  <si>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</si>
  <si>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</si>
  <si>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</si>
  <si>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</si>
  <si>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</si>
  <si>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</si>
  <si>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</si>
  <si>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</si>
  <si>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</si>
  <si>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</si>
  <si>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</si>
  <si>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</si>
  <si>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</si>
  <si>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</si>
  <si>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</si>
  <si>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</si>
  <si>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</si>
  <si>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</si>
  <si>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</si>
  <si>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</si>
  <si>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</si>
  <si>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</si>
  <si>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</si>
  <si>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</si>
  <si>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</si>
  <si>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</si>
  <si>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</si>
  <si>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</si>
  <si>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</si>
  <si>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</si>
  <si>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</si>
  <si>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</si>
  <si>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</si>
  <si>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</si>
  <si>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</si>
  <si>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</si>
  <si>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</si>
  <si>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</si>
  <si>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</si>
  <si>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</si>
  <si>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</si>
  <si>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</si>
  <si>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</si>
  <si>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</si>
  <si>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</si>
  <si>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</si>
  <si>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</si>
  <si>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</si>
  <si>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</si>
  <si>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</si>
  <si>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</si>
  <si>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</si>
  <si>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</si>
  <si>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</si>
  <si>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</si>
  <si>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</si>
  <si>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</si>
  <si>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</si>
  <si>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</si>
  <si>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</si>
  <si>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</si>
  <si>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</si>
  <si>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</si>
  <si>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</si>
  <si>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</si>
  <si>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</si>
  <si>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</si>
  <si>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</si>
  <si>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</si>
  <si>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</si>
  <si>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</si>
  <si>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</si>
  <si>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</si>
  <si>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</si>
  <si>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</si>
  <si>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</si>
  <si>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</si>
  <si>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</si>
  <si>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</si>
  <si>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</si>
  <si>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</si>
  <si>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</si>
  <si>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</si>
  <si>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</si>
  <si>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</si>
  <si>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</si>
  <si>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</si>
  <si>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</si>
  <si>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</si>
  <si>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</si>
  <si>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</si>
  <si>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</si>
  <si>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</si>
  <si>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</si>
  <si>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</si>
  <si>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</si>
  <si>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</si>
  <si>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</si>
  <si>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</si>
  <si>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</si>
  <si>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</si>
  <si>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</si>
  <si>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</si>
  <si>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</si>
  <si>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</si>
  <si>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</si>
  <si>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</si>
  <si>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</si>
  <si>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</si>
  <si>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</si>
  <si>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</si>
  <si>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</si>
  <si>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</si>
  <si>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</si>
  <si>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</si>
  <si>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</si>
  <si>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</si>
  <si>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</si>
  <si>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</si>
  <si>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</si>
  <si>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</si>
  <si>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</si>
  <si>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</si>
  <si>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</si>
  <si>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</si>
  <si>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</si>
  <si>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</si>
  <si>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</si>
  <si>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</si>
  <si>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</si>
  <si>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</si>
  <si>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</si>
  <si>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</si>
  <si>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</si>
  <si>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</si>
  <si>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</si>
  <si>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</si>
  <si>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</si>
  <si>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</si>
  <si>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</si>
  <si>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</si>
  <si>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</si>
  <si>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</si>
  <si>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</si>
  <si>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</si>
  <si>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</si>
  <si>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</si>
  <si>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</si>
  <si>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</si>
  <si>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</si>
  <si>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</si>
  <si>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</si>
  <si>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</si>
  <si>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</si>
  <si>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</si>
  <si>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</si>
  <si>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</si>
  <si>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</si>
  <si>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</si>
  <si>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</si>
  <si>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</si>
  <si>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</si>
  <si>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</si>
  <si>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</si>
  <si>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</si>
  <si>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</si>
  <si>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</si>
  <si>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</si>
  <si>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</si>
  <si>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</si>
  <si>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</si>
  <si>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</si>
  <si>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</si>
  <si>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</si>
  <si>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</si>
  <si>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</si>
  <si>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</si>
  <si>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</si>
  <si>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</si>
  <si>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</si>
  <si>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</si>
  <si>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</si>
  <si>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</si>
  <si>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</si>
  <si>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</si>
  <si>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</si>
  <si>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</si>
  <si>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</si>
  <si>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</si>
  <si>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</si>
  <si>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</si>
  <si>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</si>
  <si>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</si>
  <si>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</si>
  <si>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</si>
  <si>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</si>
  <si>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</si>
  <si>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</si>
  <si>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</si>
  <si>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</si>
  <si>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</si>
  <si>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</si>
  <si>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</si>
  <si>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</si>
  <si>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</si>
  <si>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</si>
  <si>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</si>
  <si>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</si>
  <si>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</si>
  <si>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</si>
  <si>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</si>
  <si>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</si>
  <si>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</si>
  <si>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</si>
  <si>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</si>
  <si>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</si>
  <si>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</si>
  <si>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</si>
  <si>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</si>
  <si>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</si>
  <si>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</si>
  <si>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</si>
  <si>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</si>
  <si>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</si>
  <si>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</si>
  <si>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</si>
  <si>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</si>
  <si>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</si>
  <si>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</si>
  <si>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</si>
  <si>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</si>
  <si>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</si>
  <si>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</si>
  <si>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</si>
  <si>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</si>
  <si>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</si>
  <si>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</si>
  <si>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</si>
  <si>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</si>
  <si>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</si>
  <si>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</si>
  <si>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</si>
  <si>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</si>
  <si>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</si>
  <si>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</si>
  <si>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</si>
  <si>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</si>
  <si>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</si>
  <si>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</si>
  <si>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</si>
  <si>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</si>
  <si>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</si>
  <si>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</si>
  <si>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</si>
  <si>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</si>
  <si>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</si>
  <si>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</si>
  <si>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</si>
  <si>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</si>
  <si>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</si>
  <si>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</si>
  <si>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</si>
  <si>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</si>
  <si>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</si>
  <si>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</si>
  <si>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</si>
  <si>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</si>
  <si>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</si>
  <si>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</si>
  <si>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</si>
  <si>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</si>
  <si>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</si>
  <si>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</si>
  <si>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</si>
  <si>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</si>
  <si>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</si>
  <si>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</si>
  <si>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</si>
  <si>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</si>
  <si>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</si>
  <si>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</si>
  <si>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</si>
  <si>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</si>
  <si>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</si>
  <si>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</si>
  <si>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</si>
  <si>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</si>
  <si>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</si>
  <si>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</si>
  <si>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</si>
  <si>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</si>
  <si>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</si>
  <si>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</si>
  <si>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</si>
  <si>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</si>
  <si>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</si>
  <si>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</si>
  <si>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</si>
  <si>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</si>
  <si>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</si>
  <si>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</si>
  <si>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</si>
  <si>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</si>
  <si>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</si>
  <si>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</si>
  <si>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</si>
  <si>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</si>
  <si>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</si>
  <si>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</si>
  <si>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</si>
  <si>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</si>
  <si>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</si>
  <si>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</si>
  <si>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</si>
  <si>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</si>
  <si>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</si>
  <si>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</si>
  <si>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</si>
  <si>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</si>
  <si>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</si>
  <si>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</si>
  <si>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</si>
  <si>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</si>
  <si>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</si>
  <si>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</si>
  <si>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</si>
  <si>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</si>
  <si>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</si>
  <si>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</si>
  <si>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</si>
  <si>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</si>
  <si>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</si>
  <si>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</si>
  <si>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</si>
  <si>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</si>
  <si>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</si>
  <si>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</si>
  <si>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</si>
  <si>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</si>
  <si>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</si>
  <si>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</si>
  <si>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</si>
  <si>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</si>
  <si>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</si>
  <si>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</si>
  <si>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</si>
  <si>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</si>
  <si>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</si>
  <si>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</si>
  <si>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</si>
  <si>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</si>
  <si>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</si>
  <si>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</si>
  <si>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</si>
  <si>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</si>
  <si>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</si>
  <si>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</si>
  <si>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</si>
  <si>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</si>
  <si>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</si>
  <si>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</si>
  <si>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</si>
  <si>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</si>
  <si>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</si>
  <si>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</si>
  <si>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</si>
  <si>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</si>
  <si>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</si>
  <si>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</si>
  <si>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</si>
  <si>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</si>
  <si>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</si>
  <si>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</si>
  <si>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</si>
  <si>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</si>
  <si>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</si>
  <si>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</si>
  <si>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</si>
  <si>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</si>
  <si>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</si>
  <si>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</si>
  <si>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</si>
  <si>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</si>
  <si>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</si>
  <si>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</si>
  <si>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</si>
  <si>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</si>
  <si>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</si>
  <si>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</si>
  <si>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</si>
  <si>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</si>
  <si>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</si>
  <si>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</si>
  <si>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</si>
  <si>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</si>
  <si>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</si>
  <si>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</si>
  <si>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</si>
  <si>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</si>
  <si>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</si>
  <si>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</si>
  <si>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</si>
  <si>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</si>
  <si>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</si>
  <si>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</si>
  <si>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</si>
  <si>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</si>
  <si>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</si>
  <si>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</si>
  <si>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</si>
  <si>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</si>
  <si>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</si>
  <si>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</si>
  <si>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</si>
  <si>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</si>
  <si>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</si>
  <si>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</si>
  <si>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</si>
  <si>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</si>
  <si>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</si>
  <si>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</si>
  <si>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</si>
  <si>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</si>
  <si>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</si>
  <si>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</si>
  <si>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</si>
  <si>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</si>
  <si>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</si>
  <si>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</si>
  <si>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</si>
  <si>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</si>
  <si>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</si>
  <si>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</si>
  <si>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</si>
  <si>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</si>
  <si>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</si>
  <si>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</si>
  <si>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</si>
  <si>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</si>
  <si>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</si>
  <si>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</si>
  <si>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</si>
  <si>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</si>
  <si>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</si>
  <si>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</si>
  <si>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</si>
  <si>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</si>
  <si>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</si>
  <si>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</si>
  <si>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</si>
  <si>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</si>
  <si>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</si>
  <si>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</si>
  <si>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</si>
  <si>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</si>
  <si>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</si>
  <si>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</si>
  <si>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</si>
  <si>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</si>
  <si>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</si>
  <si>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</si>
  <si>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</si>
  <si>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</si>
  <si>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</si>
  <si>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</si>
  <si>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</si>
  <si>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</si>
  <si>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</si>
  <si>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</si>
  <si>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</si>
  <si>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</si>
  <si>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</si>
  <si>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</si>
  <si>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</si>
  <si>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</si>
  <si>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</si>
  <si>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</si>
  <si>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</si>
  <si>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</si>
  <si>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</si>
  <si>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</si>
  <si>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</si>
  <si>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</si>
  <si>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</si>
  <si>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</si>
  <si>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</si>
  <si>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</si>
  <si>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</si>
  <si>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</si>
  <si>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</si>
  <si>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</si>
  <si>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</si>
  <si>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</si>
  <si>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</si>
  <si>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</si>
  <si>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</si>
  <si>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</si>
  <si>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</si>
  <si>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</si>
  <si>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</si>
  <si>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</si>
  <si>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</si>
  <si>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</si>
  <si>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</si>
  <si>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</si>
  <si>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</si>
  <si>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</si>
  <si>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</si>
  <si>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</si>
  <si>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</si>
  <si>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</si>
  <si>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</si>
  <si>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</si>
  <si>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</si>
  <si>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</si>
  <si>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</si>
  <si>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</si>
  <si>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</si>
  <si>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</si>
  <si>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</si>
  <si>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</si>
  <si>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</si>
  <si>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</si>
  <si>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</si>
  <si>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</si>
  <si>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</si>
  <si>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</si>
  <si>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</si>
  <si>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</si>
  <si>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</si>
  <si>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</si>
  <si>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</si>
  <si>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</si>
  <si>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</si>
  <si>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</si>
  <si>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</si>
  <si>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</si>
  <si>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</si>
  <si>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</si>
  <si>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</si>
  <si>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</si>
  <si>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</si>
  <si>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</si>
  <si>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</si>
  <si>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</si>
  <si>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</si>
  <si>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</si>
  <si>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</si>
  <si>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</si>
  <si>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</si>
  <si>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</si>
  <si>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</si>
  <si>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</si>
  <si>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</si>
  <si>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</si>
  <si>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</si>
  <si>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</si>
  <si>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</si>
  <si>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</si>
  <si>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</si>
  <si>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</si>
  <si>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</si>
  <si>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</si>
  <si>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</si>
  <si>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</si>
  <si>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</si>
  <si>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</si>
  <si>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</si>
  <si>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</si>
  <si>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</si>
  <si>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</si>
  <si>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</si>
  <si>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</si>
  <si>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</si>
  <si>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</si>
  <si>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</si>
  <si>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</si>
  <si>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</si>
  <si>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</si>
  <si>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</si>
  <si>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</si>
  <si>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</si>
  <si>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</si>
  <si>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</si>
  <si>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</si>
  <si>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</si>
  <si>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</si>
  <si>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</si>
  <si>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</si>
  <si>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</si>
  <si>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</si>
  <si>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</si>
  <si>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</si>
  <si>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</si>
  <si>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</si>
  <si>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</si>
  <si>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</si>
  <si>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</si>
  <si>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</si>
  <si>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</si>
  <si>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</si>
  <si>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</si>
  <si>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</si>
  <si>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</si>
  <si>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</si>
  <si>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</si>
  <si>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</si>
  <si>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</si>
  <si>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</si>
  <si>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</si>
  <si>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</si>
  <si>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</si>
  <si>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</si>
  <si>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</si>
  <si>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</si>
  <si>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</si>
  <si>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</si>
  <si>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</si>
  <si>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</si>
  <si>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</si>
  <si>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</si>
  <si>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</si>
  <si>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</si>
  <si>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</si>
  <si>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</si>
  <si>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</si>
  <si>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</si>
  <si>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</si>
  <si>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</si>
  <si>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</si>
  <si>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</si>
  <si>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</si>
  <si>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</si>
  <si>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</si>
  <si>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</si>
  <si>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</si>
  <si>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</si>
  <si>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</si>
  <si>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</si>
  <si>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</si>
  <si>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</si>
  <si>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</si>
  <si>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</si>
  <si>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</si>
  <si>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</si>
  <si>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</si>
  <si>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</si>
  <si>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</si>
  <si>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</si>
  <si>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</si>
  <si>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</si>
  <si>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</si>
  <si>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</si>
  <si>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</si>
  <si>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</si>
  <si>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</si>
  <si>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</si>
  <si>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</si>
  <si>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</si>
  <si>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</si>
  <si>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</si>
  <si>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</si>
  <si>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</si>
  <si>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</si>
  <si>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</si>
  <si>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</si>
  <si>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</si>
  <si>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</si>
  <si>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</si>
  <si>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</si>
  <si>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</si>
  <si>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</si>
  <si>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</si>
  <si>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</si>
  <si>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</si>
  <si>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</si>
  <si>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</si>
  <si>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</si>
  <si>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</si>
  <si>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</si>
  <si>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</si>
  <si>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</si>
  <si>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</si>
  <si>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</si>
  <si>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</si>
  <si>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</si>
  <si>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</si>
  <si>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</si>
  <si>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</si>
  <si>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</si>
  <si>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</si>
  <si>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</si>
  <si>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</si>
  <si>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</si>
  <si>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</si>
  <si>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</si>
  <si>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</si>
  <si>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</si>
  <si>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</si>
  <si>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</si>
  <si>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</si>
  <si>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</si>
  <si>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</si>
  <si>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</si>
  <si>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</si>
  <si>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</si>
  <si>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</si>
  <si>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</si>
  <si>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</si>
  <si>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</si>
  <si>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</si>
  <si>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</si>
  <si>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</si>
  <si>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</si>
  <si>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</si>
  <si>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</si>
  <si>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</si>
  <si>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</si>
  <si>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</si>
  <si>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</si>
  <si>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</si>
  <si>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</si>
  <si>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</si>
  <si>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</si>
  <si>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</si>
  <si>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</si>
  <si>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</si>
  <si>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</si>
  <si>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</si>
  <si>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</si>
  <si>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</si>
  <si>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</si>
  <si>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</si>
  <si>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</si>
  <si>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</si>
  <si>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</si>
  <si>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</si>
  <si>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</si>
  <si>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</si>
  <si>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</si>
  <si>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</si>
  <si>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</si>
  <si>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</si>
  <si>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</si>
  <si>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</si>
  <si>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</si>
  <si>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</si>
  <si>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</si>
  <si>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</si>
  <si>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</si>
  <si>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</si>
  <si>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</si>
  <si>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</si>
  <si>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</si>
  <si>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</si>
  <si>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</si>
  <si>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</si>
  <si>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</si>
  <si>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</si>
  <si>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</si>
  <si>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</si>
  <si>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</si>
  <si>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</si>
  <si>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</si>
  <si>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</si>
  <si>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</si>
  <si>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</si>
  <si>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</si>
  <si>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</si>
  <si>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</si>
  <si>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</si>
  <si>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</si>
  <si>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</si>
  <si>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</si>
  <si>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</si>
  <si>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</si>
  <si>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</si>
  <si>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</si>
  <si>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</si>
  <si>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</si>
  <si>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</si>
  <si>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</si>
  <si>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</si>
  <si>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</si>
  <si>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</si>
  <si>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</si>
  <si>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</si>
  <si>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</si>
  <si>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</si>
  <si>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</si>
  <si>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</si>
  <si>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</si>
  <si>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</si>
  <si>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</si>
  <si>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</si>
  <si>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</si>
  <si>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</si>
  <si>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</si>
  <si>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</si>
  <si>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</si>
  <si>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</si>
  <si>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</si>
  <si>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</si>
  <si>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</si>
  <si>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</si>
  <si>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</si>
  <si>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</si>
  <si>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</si>
  <si>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</si>
  <si>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</si>
  <si>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</si>
  <si>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</si>
  <si>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</si>
  <si>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</si>
  <si>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</si>
  <si>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</si>
  <si>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</si>
  <si>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</si>
  <si>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</si>
  <si>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</si>
  <si>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</si>
  <si>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</si>
  <si>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</si>
  <si>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</si>
  <si>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</si>
  <si>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</si>
  <si>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</si>
  <si>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</si>
  <si>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</si>
  <si>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</si>
  <si>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</si>
  <si>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</si>
  <si>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</si>
  <si>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</si>
  <si>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</si>
  <si>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</si>
  <si>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</si>
  <si>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</si>
  <si>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</si>
  <si>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</si>
  <si>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</si>
  <si>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</si>
  <si>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</si>
  <si>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</si>
  <si>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</si>
  <si>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</si>
  <si>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</si>
  <si>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</si>
  <si>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</si>
  <si>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</si>
  <si>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</si>
  <si>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</si>
  <si>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</si>
  <si>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</si>
  <si>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</si>
  <si>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</si>
  <si>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</si>
  <si>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</si>
  <si>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</si>
  <si>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</si>
  <si>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</si>
  <si>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</si>
  <si>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</si>
  <si>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</si>
  <si>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</si>
  <si>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</si>
  <si>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</si>
  <si>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</si>
  <si>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</si>
  <si>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</si>
  <si>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</si>
  <si>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</si>
  <si>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</si>
  <si>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</si>
  <si>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</si>
  <si>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</si>
  <si>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</si>
  <si>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</si>
  <si>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</si>
  <si>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</si>
  <si>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</si>
  <si>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</si>
  <si>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</si>
  <si>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</si>
  <si>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</si>
  <si>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</si>
  <si>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</si>
  <si>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</si>
  <si>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</si>
  <si>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</si>
  <si>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</si>
  <si>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</si>
  <si>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</si>
  <si>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</si>
  <si>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</si>
  <si>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</si>
  <si>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</si>
  <si>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</si>
  <si>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</si>
  <si>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</si>
  <si>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</si>
  <si>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</si>
  <si>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</si>
  <si>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</si>
  <si>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</si>
  <si>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</si>
  <si>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</si>
  <si>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</si>
  <si>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</si>
  <si>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</si>
  <si>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</si>
  <si>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</si>
  <si>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</si>
  <si>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</si>
  <si>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</si>
  <si>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</si>
  <si>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</si>
  <si>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</si>
  <si>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</si>
  <si>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</si>
  <si>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</si>
  <si>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</si>
  <si>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</si>
  <si>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</si>
  <si>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</si>
  <si>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</si>
  <si>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</si>
  <si>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</si>
  <si>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</si>
  <si>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</si>
  <si>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</si>
  <si>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</si>
  <si>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</si>
  <si>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</si>
  <si>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</si>
  <si>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</si>
  <si>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</si>
  <si>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</si>
  <si>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</si>
  <si>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</si>
  <si>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</si>
  <si>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</si>
  <si>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</si>
  <si>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</si>
  <si>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</si>
  <si>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</si>
  <si>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</si>
  <si>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</si>
  <si>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</si>
  <si>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</si>
  <si>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</si>
  <si>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</si>
  <si>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</si>
  <si>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</si>
  <si>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</si>
  <si>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</si>
  <si>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</si>
  <si>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</si>
  <si>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</si>
  <si>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</si>
  <si>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</si>
  <si>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</si>
  <si>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</si>
  <si>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</si>
  <si>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</si>
  <si>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</si>
  <si>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</si>
  <si>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</si>
  <si>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</si>
  <si>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</si>
  <si>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</si>
  <si>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</si>
  <si>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</si>
  <si>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</si>
  <si>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</si>
  <si>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</si>
  <si>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</si>
  <si>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</si>
  <si>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</si>
  <si>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</si>
  <si>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</si>
  <si>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</si>
  <si>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</si>
  <si>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</si>
  <si>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</si>
  <si>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</si>
  <si>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</si>
  <si>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</si>
  <si>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</si>
  <si>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</si>
  <si>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</si>
  <si>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</si>
  <si>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</si>
  <si>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</si>
  <si>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</si>
  <si>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</si>
  <si>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</si>
  <si>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</si>
  <si>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</si>
  <si>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</si>
  <si>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</si>
  <si>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</si>
  <si>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</si>
  <si>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</si>
  <si>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</si>
  <si>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</si>
  <si>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</si>
  <si>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</si>
  <si>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</si>
  <si>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</si>
  <si>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</si>
  <si>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</si>
  <si>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</si>
  <si>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</si>
  <si>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</si>
  <si>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</si>
  <si>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</si>
  <si>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</si>
  <si>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</si>
  <si>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</si>
  <si>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</si>
  <si>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</si>
  <si>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</si>
  <si>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</si>
  <si>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</si>
  <si>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</si>
  <si>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</si>
  <si>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</si>
  <si>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</si>
  <si>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</si>
  <si>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</si>
  <si>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</si>
  <si>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</si>
  <si>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</si>
  <si>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</si>
  <si>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</si>
  <si>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</si>
  <si>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</si>
  <si>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</si>
  <si>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</si>
  <si>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</si>
  <si>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</si>
  <si>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</si>
  <si>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</si>
  <si>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</si>
  <si>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</si>
  <si>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</si>
  <si>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</si>
  <si>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</si>
  <si>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</si>
  <si>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</si>
  <si>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</si>
  <si>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</si>
  <si>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</si>
  <si>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</si>
  <si>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</si>
  <si>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</si>
  <si>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</si>
  <si>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</si>
  <si>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</si>
  <si>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</si>
  <si>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</si>
  <si>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</si>
  <si>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</si>
  <si>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</si>
  <si>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</si>
  <si>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</si>
  <si>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</si>
  <si>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</si>
  <si>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</si>
  <si>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</si>
  <si>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</si>
  <si>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</si>
  <si>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</si>
  <si>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</si>
  <si>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</si>
  <si>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</si>
  <si>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</si>
  <si>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</si>
  <si>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</si>
  <si>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</si>
  <si>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</si>
  <si>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</si>
  <si>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</si>
  <si>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</si>
  <si>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</si>
  <si>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</si>
  <si>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</si>
  <si>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Marquis-Manon Berthelot</t>
  </si>
  <si>
    <t xml:space="preserve">Aiguillon</t>
  </si>
  <si>
    <t xml:space="preserve">Goudargues</t>
  </si>
  <si>
    <t xml:space="preserve">06120560</t>
  </si>
  <si>
    <t xml:space="preserve">RCS LR</t>
  </si>
  <si>
    <t xml:space="preserve">Robustesse:</t>
  </si>
  <si>
    <t xml:space="preserve">radier</t>
  </si>
  <si>
    <t xml:space="preserve">pl. lent</t>
  </si>
  <si>
    <t xml:space="preserve">moyen</t>
  </si>
  <si>
    <t xml:space="preserve">(moyen)</t>
  </si>
  <si>
    <t xml:space="preserve">périphyton</t>
  </si>
  <si>
    <t xml:space="preserve">peu abd.</t>
  </si>
  <si>
    <t xml:space="preserve">très abd.</t>
  </si>
  <si>
    <t xml:space="preserve"> rec. par taxa (4,49 %) supérieur à 20 % !</t>
  </si>
  <si>
    <t xml:space="preserve">Cf.</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</si>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</sst>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1">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b val="true"/>
      <sz val="11"/>
      <color rgb="FF000000"/>
      <name val="Calibri"/>
      <family val="2"/>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FF99"/>
        <bgColor rgb="FFEFEFEF"/>
      </patternFill>
    </fill>
    <fill>
      <patternFill patternType="solid">
        <fgColor rgb="FFFFFFFF"/>
        <bgColor rgb="FFEFEFEF"/>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
      <patternFill patternType="solid">
        <fgColor rgb="FFFFFF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general"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general"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5" fillId="0" borderId="12" xfId="0" applyFont="true" applyBorder="true" applyAlignment="true" applyProtection="false">
      <alignment horizontal="general" vertical="bottom" textRotation="0" wrapText="false" indent="0" shrinkToFit="false"/>
      <protection locked="true" hidden="false"/>
    </xf>
    <xf numFmtId="164" fontId="26" fillId="0" borderId="13" xfId="0" applyFont="true" applyBorder="true" applyAlignment="true" applyProtection="false">
      <alignment horizontal="center" vertical="center" textRotation="0" wrapText="true" indent="0" shrinkToFit="false"/>
      <protection locked="true" hidden="false"/>
    </xf>
    <xf numFmtId="164" fontId="26" fillId="0" borderId="14" xfId="0" applyFont="true" applyBorder="true" applyAlignment="true" applyProtection="false">
      <alignment horizontal="center" vertical="center"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6" borderId="15" xfId="0" applyFont="true" applyBorder="true" applyAlignment="true" applyProtection="false">
      <alignment horizontal="center" vertical="bottom" textRotation="0" wrapText="false" indent="0" shrinkToFit="false"/>
      <protection locked="true" hidden="false"/>
    </xf>
    <xf numFmtId="164" fontId="30" fillId="6" borderId="15" xfId="0" applyFont="true" applyBorder="true" applyAlignment="false" applyProtection="false">
      <alignment horizontal="general" vertical="bottom" textRotation="0" wrapText="false" indent="0" shrinkToFit="false"/>
      <protection locked="true" hidden="false"/>
    </xf>
    <xf numFmtId="164" fontId="31" fillId="6" borderId="12" xfId="0" applyFont="true" applyBorder="true" applyAlignment="true" applyProtection="false">
      <alignment horizontal="center" vertical="bottom" textRotation="0" wrapText="true" indent="0" shrinkToFit="false"/>
      <protection locked="true" hidden="false"/>
    </xf>
    <xf numFmtId="164" fontId="0" fillId="6" borderId="16" xfId="0" applyFont="false" applyBorder="true" applyAlignment="false" applyProtection="false">
      <alignment horizontal="general" vertical="bottom" textRotation="0" wrapText="false" indent="0" shrinkToFit="false"/>
      <protection locked="true" hidden="false"/>
    </xf>
    <xf numFmtId="164" fontId="30" fillId="7" borderId="17" xfId="0" applyFont="true" applyBorder="true" applyAlignment="true" applyProtection="false">
      <alignment horizontal="left" vertical="bottom" textRotation="0" wrapText="false" indent="0" shrinkToFit="false"/>
      <protection locked="true" hidden="false"/>
    </xf>
    <xf numFmtId="164" fontId="25" fillId="7" borderId="17" xfId="0" applyFont="true" applyBorder="true" applyAlignment="true" applyProtection="false">
      <alignment horizontal="general" vertical="bottom" textRotation="0" wrapText="false" indent="0" shrinkToFit="false"/>
      <protection locked="true" hidden="false"/>
    </xf>
    <xf numFmtId="164" fontId="20" fillId="7" borderId="8" xfId="0" applyFont="true" applyBorder="true" applyAlignment="true" applyProtection="false">
      <alignment horizontal="right" vertical="bottom" textRotation="0" wrapText="false" indent="0" shrinkToFit="false"/>
      <protection locked="true" hidden="false"/>
    </xf>
    <xf numFmtId="164" fontId="20" fillId="7" borderId="18" xfId="0" applyFont="true" applyBorder="true" applyAlignment="true" applyProtection="false">
      <alignment horizontal="right" vertical="bottom" textRotation="0" wrapText="false" indent="0" shrinkToFit="false"/>
      <protection locked="true" hidden="false"/>
    </xf>
    <xf numFmtId="164" fontId="31" fillId="8" borderId="19" xfId="0" applyFont="true" applyBorder="true" applyAlignment="true" applyProtection="false">
      <alignment horizontal="center"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33" fillId="9" borderId="8" xfId="0" applyFont="true" applyBorder="true" applyAlignment="true" applyProtection="false">
      <alignment horizontal="center" vertical="bottom" textRotation="0" wrapText="false" indent="0" shrinkToFit="false"/>
      <protection locked="true" hidden="false"/>
    </xf>
    <xf numFmtId="164" fontId="33" fillId="6" borderId="8" xfId="0" applyFont="true" applyBorder="true" applyAlignment="true" applyProtection="false">
      <alignment horizontal="general"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0" fillId="6" borderId="2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0" borderId="17" xfId="0" applyFont="true" applyBorder="true" applyAlignment="true" applyProtection="false">
      <alignment horizontal="left" vertical="bottom" textRotation="0" wrapText="false" indent="0" shrinkToFit="false"/>
      <protection locked="true" hidden="false"/>
    </xf>
    <xf numFmtId="164" fontId="36" fillId="10" borderId="17" xfId="0" applyFont="true" applyBorder="true" applyAlignment="true" applyProtection="false">
      <alignment horizontal="general" vertical="bottom" textRotation="0" wrapText="false" indent="0" shrinkToFit="false"/>
      <protection locked="true" hidden="false"/>
    </xf>
    <xf numFmtId="165" fontId="26" fillId="10" borderId="0" xfId="0" applyFont="true" applyBorder="true" applyAlignment="true" applyProtection="false">
      <alignment horizontal="center" vertical="bottom" textRotation="0" wrapText="false" indent="0" shrinkToFit="false"/>
      <protection locked="true" hidden="false"/>
    </xf>
    <xf numFmtId="165" fontId="26" fillId="10" borderId="19" xfId="0" applyFont="true" applyBorder="true" applyAlignment="true" applyProtection="false">
      <alignment horizontal="center" vertical="bottom" textRotation="0" wrapText="false" indent="0" shrinkToFit="false"/>
      <protection locked="true" hidden="false"/>
    </xf>
    <xf numFmtId="164" fontId="34" fillId="8" borderId="19" xfId="0" applyFont="true" applyBorder="true" applyAlignment="true" applyProtection="false">
      <alignment horizontal="general" vertical="bottom" textRotation="0" wrapText="false" indent="0" shrinkToFit="false"/>
      <protection locked="true" hidden="false"/>
    </xf>
    <xf numFmtId="164" fontId="33" fillId="9" borderId="0" xfId="0" applyFont="true" applyBorder="false" applyAlignment="true" applyProtection="false">
      <alignment horizontal="center" vertical="bottom" textRotation="0" wrapText="false" indent="0" shrinkToFit="false"/>
      <protection locked="true" hidden="false"/>
    </xf>
    <xf numFmtId="165" fontId="33" fillId="9" borderId="0" xfId="0" applyFont="true" applyBorder="false" applyAlignment="true" applyProtection="false">
      <alignment horizontal="center" vertical="bottom" textRotation="0" wrapText="false" indent="0" shrinkToFit="false"/>
      <protection locked="true" hidden="false"/>
    </xf>
    <xf numFmtId="164" fontId="33" fillId="6" borderId="0" xfId="0" applyFont="true" applyBorder="false" applyAlignment="true" applyProtection="false">
      <alignment horizontal="general" vertical="bottom" textRotation="0" wrapText="false" indent="0" shrinkToFit="false"/>
      <protection locked="true" hidden="false"/>
    </xf>
    <xf numFmtId="165" fontId="26" fillId="7" borderId="0" xfId="0" applyFont="true" applyBorder="true" applyAlignment="true" applyProtection="false">
      <alignment horizontal="center" vertical="bottom" textRotation="0" wrapText="false" indent="0" shrinkToFit="false"/>
      <protection locked="true" hidden="false"/>
    </xf>
    <xf numFmtId="165" fontId="26" fillId="7" borderId="19" xfId="0" applyFont="true" applyBorder="true" applyAlignment="true" applyProtection="false">
      <alignment horizontal="center" vertical="bottom" textRotation="0" wrapText="false" indent="0" shrinkToFit="false"/>
      <protection locked="true" hidden="false"/>
    </xf>
    <xf numFmtId="164" fontId="37" fillId="8" borderId="19" xfId="0" applyFont="true" applyBorder="true" applyAlignment="true" applyProtection="false">
      <alignment horizontal="left" vertical="bottom" textRotation="0" wrapText="false" indent="0" shrinkToFit="false"/>
      <protection locked="true" hidden="false"/>
    </xf>
    <xf numFmtId="164" fontId="38" fillId="10" borderId="17" xfId="0" applyFont="true" applyBorder="true" applyAlignment="true" applyProtection="false">
      <alignment horizontal="left" vertical="bottom" textRotation="0" wrapText="false" indent="0" shrinkToFit="false"/>
      <protection locked="true" hidden="false"/>
    </xf>
    <xf numFmtId="166" fontId="32" fillId="0" borderId="0" xfId="0" applyFont="true" applyBorder="false" applyAlignment="true" applyProtection="false">
      <alignment horizontal="left" vertical="bottom" textRotation="0" wrapText="tru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left" vertical="bottom" textRotation="0" wrapText="false" indent="0" shrinkToFit="false"/>
      <protection locked="true" hidden="false"/>
    </xf>
    <xf numFmtId="164" fontId="41" fillId="10" borderId="17" xfId="0" applyFont="true" applyBorder="true" applyAlignment="true" applyProtection="false">
      <alignment horizontal="general" vertical="bottom" textRotation="0" wrapText="false" indent="0" shrinkToFit="false"/>
      <protection locked="true" hidden="false"/>
    </xf>
    <xf numFmtId="164" fontId="37" fillId="8" borderId="19"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false">
      <alignment horizontal="lef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2" fillId="0" borderId="19" xfId="0" applyFont="true" applyBorder="true" applyAlignment="true" applyProtection="false">
      <alignment horizontal="general" vertical="bottom" textRotation="0" wrapText="false" indent="0" shrinkToFit="false"/>
      <protection locked="true" hidden="false"/>
    </xf>
    <xf numFmtId="164" fontId="33" fillId="6" borderId="21" xfId="0" applyFont="true" applyBorder="true" applyAlignment="true" applyProtection="false">
      <alignment horizontal="general" vertical="bottom" textRotation="0" wrapText="false" indent="0" shrinkToFit="false"/>
      <protection locked="true" hidden="false"/>
    </xf>
    <xf numFmtId="164" fontId="30" fillId="10" borderId="17" xfId="0" applyFont="true" applyBorder="true" applyAlignment="true" applyProtection="false">
      <alignment horizontal="left" vertical="bottom" textRotation="0" wrapText="false" indent="0" shrinkToFit="false"/>
      <protection locked="true" hidden="false"/>
    </xf>
    <xf numFmtId="164" fontId="30" fillId="7" borderId="17" xfId="0" applyFont="true" applyBorder="true" applyAlignment="true" applyProtection="false">
      <alignment horizontal="general" vertical="bottom" textRotation="0" wrapText="false" indent="0" shrinkToFit="false"/>
      <protection locked="true" hidden="false"/>
    </xf>
    <xf numFmtId="164" fontId="31" fillId="8" borderId="19"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6" borderId="20" xfId="0" applyFont="true" applyBorder="true" applyAlignment="true" applyProtection="false">
      <alignment horizontal="general" vertical="bottom" textRotation="0" wrapText="false" indent="0" shrinkToFit="false"/>
      <protection locked="true" hidden="false"/>
    </xf>
    <xf numFmtId="164" fontId="34" fillId="8" borderId="19" xfId="0" applyFont="true" applyBorder="true" applyAlignment="true" applyProtection="false">
      <alignment horizontal="left" vertical="bottom" textRotation="0" wrapText="false" indent="0" shrinkToFit="false"/>
      <protection locked="true" hidden="false"/>
    </xf>
    <xf numFmtId="164" fontId="47" fillId="0" borderId="20" xfId="0" applyFont="true" applyBorder="true" applyAlignment="true" applyProtection="false">
      <alignment horizontal="general" vertical="bottom" textRotation="0" wrapText="false" indent="0" shrinkToFit="false"/>
      <protection locked="true" hidden="false"/>
    </xf>
    <xf numFmtId="164" fontId="47" fillId="0" borderId="20" xfId="0" applyFont="true" applyBorder="true" applyAlignment="false" applyProtection="false">
      <alignment horizontal="general" vertical="bottom" textRotation="0" wrapText="false" indent="0" shrinkToFit="false"/>
      <protection locked="true" hidden="false"/>
    </xf>
    <xf numFmtId="164" fontId="47" fillId="0" borderId="2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9" fillId="9" borderId="0" xfId="0" applyFont="true" applyBorder="false" applyAlignment="true" applyProtection="false">
      <alignment horizontal="center" vertical="bottom" textRotation="0" wrapText="false" indent="0" shrinkToFit="false"/>
      <protection locked="true" hidden="false"/>
    </xf>
    <xf numFmtId="165" fontId="49" fillId="9" borderId="0" xfId="0" applyFont="true" applyBorder="false" applyAlignment="true" applyProtection="false">
      <alignment horizontal="center" vertical="bottom" textRotation="0" wrapText="false" indent="0" shrinkToFit="false"/>
      <protection locked="true" hidden="false"/>
    </xf>
    <xf numFmtId="164" fontId="50" fillId="9" borderId="0" xfId="0" applyFont="true" applyBorder="false" applyAlignment="true" applyProtection="false">
      <alignment horizontal="center" vertical="bottom" textRotation="0" wrapText="false" indent="0" shrinkToFit="false"/>
      <protection locked="true" hidden="false"/>
    </xf>
    <xf numFmtId="164" fontId="50" fillId="6" borderId="0" xfId="0" applyFont="true" applyBorder="false" applyAlignment="true" applyProtection="false">
      <alignment horizontal="general" vertical="bottom" textRotation="0" wrapText="false" indent="0" shrinkToFit="false"/>
      <protection locked="true" hidden="false"/>
    </xf>
    <xf numFmtId="164" fontId="51" fillId="6"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3" fillId="9" borderId="9" xfId="0" applyFont="true" applyBorder="true" applyAlignment="true" applyProtection="false">
      <alignment horizontal="center"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0" fillId="8" borderId="19" xfId="0" applyFont="true" applyBorder="true" applyAlignment="true" applyProtection="false">
      <alignment horizontal="left"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5" fillId="10" borderId="17" xfId="0" applyFont="true" applyBorder="true" applyAlignment="true" applyProtection="false">
      <alignment horizontal="left" vertical="top" textRotation="0" wrapText="false" indent="0" shrinkToFit="false"/>
      <protection locked="true" hidden="false"/>
    </xf>
    <xf numFmtId="164" fontId="0" fillId="6" borderId="20" xfId="0" applyFont="false" applyBorder="true" applyAlignment="true" applyProtection="false">
      <alignment horizontal="general" vertical="bottom" textRotation="0" wrapText="false" indent="0" shrinkToFit="false"/>
      <protection locked="true" hidden="false"/>
    </xf>
    <xf numFmtId="164" fontId="53" fillId="9" borderId="0" xfId="0" applyFont="true" applyBorder="false" applyAlignment="true" applyProtection="false">
      <alignment horizontal="center" vertical="bottom" textRotation="0" wrapText="false" indent="0" shrinkToFit="false"/>
      <protection locked="true" hidden="false"/>
    </xf>
    <xf numFmtId="164" fontId="53" fillId="6" borderId="0" xfId="0" applyFont="true" applyBorder="false" applyAlignment="true" applyProtection="false">
      <alignment horizontal="general" vertical="bottom" textRotation="0" wrapText="false" indent="0" shrinkToFit="false"/>
      <protection locked="true" hidden="false"/>
    </xf>
    <xf numFmtId="164" fontId="33" fillId="9" borderId="0" xfId="0" applyFont="true" applyBorder="true" applyAlignment="true" applyProtection="false">
      <alignment horizontal="center" vertical="bottom" textRotation="0" wrapText="false" indent="0" shrinkToFit="false"/>
      <protection locked="true" hidden="false"/>
    </xf>
    <xf numFmtId="165" fontId="33" fillId="9" borderId="0" xfId="0" applyFont="true" applyBorder="true" applyAlignment="true" applyProtection="false">
      <alignment horizontal="center" vertical="bottom" textRotation="0" wrapText="false" indent="0" shrinkToFit="false"/>
      <protection locked="true" hidden="false"/>
    </xf>
    <xf numFmtId="164" fontId="33" fillId="6" borderId="0" xfId="0" applyFont="true" applyBorder="true" applyAlignment="true" applyProtection="false">
      <alignment horizontal="general" vertical="bottom" textRotation="0" wrapText="false" indent="0" shrinkToFit="false"/>
      <protection locked="true" hidden="false"/>
    </xf>
    <xf numFmtId="164" fontId="22" fillId="10" borderId="17" xfId="0" applyFont="true" applyBorder="true" applyAlignment="true" applyProtection="false">
      <alignment horizontal="left" vertical="bottom" textRotation="0" wrapText="false" indent="0" shrinkToFit="false"/>
      <protection locked="true" hidden="false"/>
    </xf>
    <xf numFmtId="164" fontId="30" fillId="8" borderId="19"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1" shrinkToFit="false"/>
      <protection locked="true" hidden="false"/>
    </xf>
    <xf numFmtId="167" fontId="35" fillId="10" borderId="17" xfId="0" applyFont="true" applyBorder="true" applyAlignment="true" applyProtection="false">
      <alignment horizontal="left" vertical="bottom" textRotation="0" wrapText="false" indent="0" shrinkToFit="false"/>
      <protection locked="true" hidden="false"/>
    </xf>
    <xf numFmtId="164" fontId="20" fillId="6" borderId="20" xfId="0" applyFont="true" applyBorder="true" applyAlignment="false" applyProtection="false">
      <alignment horizontal="general" vertical="bottom" textRotation="0" wrapText="false" indent="0" shrinkToFit="false"/>
      <protection locked="true" hidden="false"/>
    </xf>
    <xf numFmtId="164" fontId="35" fillId="10" borderId="17" xfId="0" applyFont="true" applyBorder="true" applyAlignment="true" applyProtection="true">
      <alignment horizontal="left" vertical="bottom" textRotation="0" wrapText="false" indent="0" shrinkToFit="false"/>
      <protection locked="true" hidden="false"/>
    </xf>
    <xf numFmtId="164" fontId="36" fillId="10" borderId="17" xfId="0" applyFont="true" applyBorder="true" applyAlignment="true" applyProtection="true">
      <alignment horizontal="general" vertical="bottom" textRotation="0" wrapText="false" indent="0" shrinkToFit="false"/>
      <protection locked="true" hidden="false"/>
    </xf>
    <xf numFmtId="165" fontId="26" fillId="10" borderId="0" xfId="0" applyFont="true" applyBorder="true" applyAlignment="true" applyProtection="true">
      <alignment horizontal="center" vertical="bottom" textRotation="0" wrapText="false" indent="0" shrinkToFit="false"/>
      <protection locked="true" hidden="false"/>
    </xf>
    <xf numFmtId="165" fontId="26" fillId="10" borderId="19" xfId="0" applyFont="true" applyBorder="true" applyAlignment="true" applyProtection="true">
      <alignment horizontal="center" vertical="bottom" textRotation="0" wrapText="false" indent="0" shrinkToFit="false"/>
      <protection locked="true" hidden="false"/>
    </xf>
    <xf numFmtId="164" fontId="37" fillId="8" borderId="19" xfId="0" applyFont="true" applyBorder="true" applyAlignment="true" applyProtection="true">
      <alignment horizontal="general" vertical="bottom" textRotation="0" wrapText="false" indent="0" shrinkToFit="false"/>
      <protection locked="true" hidden="false"/>
    </xf>
    <xf numFmtId="164" fontId="32" fillId="0" borderId="20" xfId="0" applyFont="true" applyBorder="true" applyAlignment="true" applyProtection="true">
      <alignment horizontal="general" vertical="bottom" textRotation="0" wrapText="false" indent="0" shrinkToFit="false"/>
      <protection locked="true" hidden="false"/>
    </xf>
    <xf numFmtId="164" fontId="33" fillId="9" borderId="0" xfId="0" applyFont="true" applyBorder="false" applyAlignment="true" applyProtection="true">
      <alignment horizontal="center" vertical="bottom" textRotation="0" wrapText="false" indent="0" shrinkToFit="false"/>
      <protection locked="true" hidden="false"/>
    </xf>
    <xf numFmtId="165" fontId="33" fillId="9" borderId="0" xfId="0" applyFont="true" applyBorder="false" applyAlignment="true" applyProtection="true">
      <alignment horizontal="center" vertical="bottom" textRotation="0" wrapText="false" indent="0" shrinkToFit="false"/>
      <protection locked="true" hidden="false"/>
    </xf>
    <xf numFmtId="164" fontId="33" fillId="6" borderId="0" xfId="0" applyFont="true" applyBorder="false" applyAlignment="true" applyProtection="true">
      <alignment horizontal="general" vertical="bottom" textRotation="0" wrapText="false" indent="0" shrinkToFit="false"/>
      <protection locked="true" hidden="false"/>
    </xf>
    <xf numFmtId="164" fontId="34" fillId="6" borderId="20" xfId="0" applyFont="true" applyBorder="true" applyAlignment="true" applyProtection="true">
      <alignment horizontal="general" vertical="bottom" textRotation="0" wrapText="false" indent="0" shrinkToFit="false"/>
      <protection locked="true" hidden="false"/>
    </xf>
    <xf numFmtId="164" fontId="0" fillId="6" borderId="20" xfId="0" applyFont="false" applyBorder="true" applyAlignment="false" applyProtection="true">
      <alignment horizontal="general" vertical="bottom" textRotation="0" wrapText="false" indent="0" shrinkToFit="false"/>
      <protection locked="true" hidden="false"/>
    </xf>
    <xf numFmtId="164" fontId="35" fillId="10" borderId="20" xfId="0" applyFont="true" applyBorder="true" applyAlignment="true" applyProtection="false">
      <alignment horizontal="left" vertical="bottom" textRotation="0" wrapText="false" indent="0" shrinkToFit="false"/>
      <protection locked="true" hidden="false"/>
    </xf>
    <xf numFmtId="164" fontId="36" fillId="10" borderId="20" xfId="0" applyFont="true" applyBorder="true" applyAlignment="true" applyProtection="false">
      <alignment horizontal="general" vertical="bottom" textRotation="0" wrapText="false" indent="0" shrinkToFit="false"/>
      <protection locked="true" hidden="false"/>
    </xf>
    <xf numFmtId="164" fontId="35" fillId="10" borderId="22" xfId="0" applyFont="true" applyBorder="true" applyAlignment="true" applyProtection="false">
      <alignment horizontal="left" vertical="bottom" textRotation="0" wrapText="false" indent="0" shrinkToFit="false"/>
      <protection locked="true" hidden="false"/>
    </xf>
    <xf numFmtId="164" fontId="36" fillId="10" borderId="22" xfId="0" applyFont="true" applyBorder="true" applyAlignment="true" applyProtection="false">
      <alignment horizontal="general" vertical="bottom" textRotation="0" wrapText="false" indent="0" shrinkToFit="false"/>
      <protection locked="true" hidden="false"/>
    </xf>
    <xf numFmtId="164" fontId="37" fillId="8" borderId="23" xfId="0" applyFont="true" applyBorder="true" applyAlignment="true" applyProtection="false">
      <alignment horizontal="general" vertical="bottom" textRotation="0" wrapText="false" indent="0" shrinkToFit="false"/>
      <protection locked="true" hidden="false"/>
    </xf>
    <xf numFmtId="164" fontId="32" fillId="0" borderId="22" xfId="0" applyFont="true" applyBorder="true" applyAlignment="true" applyProtection="false">
      <alignment horizontal="general" vertical="bottom" textRotation="0" wrapText="false" indent="0" shrinkToFit="false"/>
      <protection locked="true" hidden="false"/>
    </xf>
    <xf numFmtId="164" fontId="33" fillId="9" borderId="11" xfId="0" applyFont="true" applyBorder="true" applyAlignment="true" applyProtection="false">
      <alignment horizontal="center" vertical="bottom" textRotation="0" wrapText="false" indent="0" shrinkToFit="false"/>
      <protection locked="true" hidden="false"/>
    </xf>
    <xf numFmtId="165" fontId="33" fillId="9" borderId="11" xfId="0" applyFont="true" applyBorder="true" applyAlignment="true" applyProtection="false">
      <alignment horizontal="center" vertical="bottom" textRotation="0" wrapText="false" indent="0" shrinkToFit="false"/>
      <protection locked="true" hidden="false"/>
    </xf>
    <xf numFmtId="164" fontId="33" fillId="6" borderId="11" xfId="0" applyFont="true" applyBorder="true" applyAlignment="true" applyProtection="false">
      <alignment horizontal="general" vertical="bottom" textRotation="0" wrapText="false" indent="0" shrinkToFit="false"/>
      <protection locked="true" hidden="false"/>
    </xf>
    <xf numFmtId="164" fontId="34" fillId="6" borderId="22" xfId="0" applyFont="true" applyBorder="tru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58"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8" borderId="24" xfId="0" applyFont="true" applyBorder="true" applyAlignment="false" applyProtection="false">
      <alignment horizontal="general" vertical="bottom" textRotation="0" wrapText="false" indent="0" shrinkToFit="false"/>
      <protection locked="true" hidden="false"/>
    </xf>
    <xf numFmtId="164" fontId="0" fillId="8" borderId="25" xfId="0" applyFont="false" applyBorder="true" applyAlignment="false" applyProtection="false">
      <alignment horizontal="general" vertical="bottom" textRotation="0" wrapText="false" indent="0" shrinkToFit="false"/>
      <protection locked="true" hidden="false"/>
    </xf>
    <xf numFmtId="164" fontId="26" fillId="8" borderId="26" xfId="0" applyFont="true" applyBorder="true" applyAlignment="true" applyProtection="false">
      <alignment horizontal="center" vertical="bottom" textRotation="0" wrapText="false" indent="0" shrinkToFit="false"/>
      <protection locked="true" hidden="false"/>
    </xf>
    <xf numFmtId="164" fontId="0" fillId="8" borderId="26"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false" applyProtection="false">
      <alignment horizontal="general" vertical="bottom" textRotation="0" wrapText="false" indent="0" shrinkToFit="false"/>
      <protection locked="true" hidden="false"/>
    </xf>
    <xf numFmtId="164" fontId="0" fillId="8" borderId="28" xfId="0" applyFont="true" applyBorder="true" applyAlignment="false" applyProtection="false">
      <alignment horizontal="general" vertical="bottom" textRotation="0" wrapText="false" indent="0" shrinkToFit="false"/>
      <protection locked="true" hidden="false"/>
    </xf>
    <xf numFmtId="168" fontId="0" fillId="8" borderId="28" xfId="0" applyFont="true" applyBorder="true" applyAlignment="true" applyProtection="false">
      <alignment horizontal="center" vertical="bottom" textRotation="0" wrapText="false" indent="0" shrinkToFit="false"/>
      <protection locked="true" hidden="false"/>
    </xf>
    <xf numFmtId="164" fontId="26" fillId="8" borderId="29"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true" applyProtection="false">
      <alignment horizontal="center" vertical="bottom" textRotation="0" wrapText="false" indent="0" shrinkToFit="false"/>
      <protection locked="true" hidden="false"/>
    </xf>
    <xf numFmtId="164" fontId="0" fillId="8" borderId="30" xfId="0" applyFont="true" applyBorder="true" applyAlignment="true" applyProtection="false">
      <alignment horizontal="center" vertical="bottom" textRotation="0" wrapText="false" indent="0" shrinkToFit="false"/>
      <protection locked="true" hidden="false"/>
    </xf>
    <xf numFmtId="164" fontId="0" fillId="8" borderId="27" xfId="0" applyFont="false" applyBorder="true" applyAlignment="true" applyProtection="false">
      <alignment horizontal="center" vertical="bottom" textRotation="0" wrapText="false" indent="0" shrinkToFit="false"/>
      <protection locked="true" hidden="false"/>
    </xf>
    <xf numFmtId="164" fontId="0" fillId="8" borderId="28" xfId="0" applyFont="false" applyBorder="true" applyAlignment="true" applyProtection="false">
      <alignment horizontal="center" vertical="bottom" textRotation="0" wrapText="false" indent="0" shrinkToFit="false"/>
      <protection locked="true" hidden="false"/>
    </xf>
    <xf numFmtId="164" fontId="0" fillId="8" borderId="30" xfId="0" applyFont="false" applyBorder="true" applyAlignment="true" applyProtection="false">
      <alignment horizontal="center" vertical="bottom" textRotation="0" wrapText="false" indent="0" shrinkToFit="false"/>
      <protection locked="true" hidden="false"/>
    </xf>
    <xf numFmtId="164" fontId="0" fillId="8" borderId="28" xfId="0" applyFont="true" applyBorder="true" applyAlignment="true" applyProtection="false">
      <alignment horizontal="center" vertical="bottom" textRotation="0" wrapText="false" indent="0" shrinkToFit="false"/>
      <protection locked="true" hidden="false"/>
    </xf>
    <xf numFmtId="164" fontId="0" fillId="8" borderId="29" xfId="0" applyFont="true" applyBorder="true" applyAlignment="true" applyProtection="false">
      <alignment horizontal="center" vertical="bottom" textRotation="0" wrapText="false" indent="0" shrinkToFit="false"/>
      <protection locked="true" hidden="false"/>
    </xf>
    <xf numFmtId="164" fontId="26" fillId="0" borderId="31" xfId="0" applyFont="true" applyBorder="true" applyAlignment="false" applyProtection="true">
      <alignment horizontal="general" vertical="bottom" textRotation="0" wrapText="false" indent="0" shrinkToFit="false"/>
      <protection locked="false" hidden="false"/>
    </xf>
    <xf numFmtId="164" fontId="0" fillId="0" borderId="32" xfId="0" applyFont="false" applyBorder="true" applyAlignment="false" applyProtection="true">
      <alignment horizontal="general" vertical="bottom" textRotation="0" wrapText="false" indent="0" shrinkToFit="false"/>
      <protection locked="false" hidden="false"/>
    </xf>
    <xf numFmtId="168" fontId="0" fillId="0" borderId="32" xfId="0" applyFont="false" applyBorder="true" applyAlignment="false" applyProtection="true">
      <alignment horizontal="general" vertical="bottom" textRotation="0" wrapText="false" indent="0" shrinkToFit="false"/>
      <protection locked="false" hidden="false"/>
    </xf>
    <xf numFmtId="169" fontId="26" fillId="0" borderId="33" xfId="0" applyFont="tru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69" fontId="0" fillId="0" borderId="32"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1" fontId="0" fillId="0" borderId="31" xfId="0" applyFont="false" applyBorder="true" applyAlignment="false" applyProtection="true">
      <alignment horizontal="general"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false" applyProtection="true">
      <alignment horizontal="general" vertical="bottom" textRotation="0" wrapText="false" indent="0" shrinkToFit="false"/>
      <protection locked="false" hidden="false"/>
    </xf>
    <xf numFmtId="164" fontId="26"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26"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2" shrinkToFit="false"/>
      <protection locked="true" hidden="false"/>
    </xf>
    <xf numFmtId="164" fontId="68" fillId="11"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68" fillId="11"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general" vertical="bottom" textRotation="0" wrapText="false" indent="0" shrinkToFit="false"/>
      <protection locked="true" hidden="false"/>
    </xf>
    <xf numFmtId="164" fontId="70" fillId="11"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11" borderId="19" xfId="0" applyFont="true" applyBorder="true" applyAlignment="true" applyProtection="false">
      <alignment horizontal="general"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1" shrinkToFit="false"/>
      <protection locked="true" hidden="false"/>
    </xf>
    <xf numFmtId="164" fontId="68" fillId="11" borderId="0" xfId="0" applyFont="true" applyBorder="true" applyAlignment="true" applyProtection="false">
      <alignment horizontal="center" vertical="bottom" textRotation="0" wrapText="false" indent="0" shrinkToFit="false"/>
      <protection locked="true" hidden="false"/>
    </xf>
    <xf numFmtId="164" fontId="68" fillId="11"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72"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8" fillId="11" borderId="11" xfId="0" applyFont="true" applyBorder="true" applyAlignment="false" applyProtection="false">
      <alignment horizontal="general" vertical="bottom" textRotation="0" wrapText="false" indent="0" shrinkToFit="false"/>
      <protection locked="true" hidden="false"/>
    </xf>
    <xf numFmtId="164" fontId="68" fillId="11" borderId="2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12"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2" fillId="12"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2"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12" borderId="25"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5"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8" borderId="28" xfId="0" applyFont="true" applyBorder="true" applyAlignment="true" applyProtection="true">
      <alignment horizontal="left" vertical="bottom" textRotation="0" wrapText="false" indent="0" shrinkToFit="false"/>
      <protection locked="true" hidden="true"/>
    </xf>
    <xf numFmtId="164" fontId="26" fillId="8" borderId="28" xfId="0" applyFont="true" applyBorder="true" applyAlignment="false" applyProtection="true">
      <alignment horizontal="general" vertical="bottom" textRotation="0" wrapText="false" indent="0" shrinkToFit="false"/>
      <protection locked="true" hidden="true"/>
    </xf>
    <xf numFmtId="164" fontId="26" fillId="12" borderId="28" xfId="0" applyFont="true" applyBorder="true" applyAlignment="false" applyProtection="true">
      <alignment horizontal="general" vertical="bottom" textRotation="0" wrapText="false" indent="0" shrinkToFit="false"/>
      <protection locked="true" hidden="true"/>
    </xf>
    <xf numFmtId="164" fontId="89" fillId="13" borderId="48" xfId="0" applyFont="true" applyBorder="true" applyAlignment="false" applyProtection="true">
      <alignment horizontal="general" vertical="bottom" textRotation="0" wrapText="false" indent="0" shrinkToFit="false"/>
      <protection locked="true" hidden="true"/>
    </xf>
    <xf numFmtId="164" fontId="0" fillId="13" borderId="49" xfId="0" applyFont="false" applyBorder="true" applyAlignment="false" applyProtection="true">
      <alignment horizontal="general" vertical="bottom" textRotation="0" wrapText="false" indent="0" shrinkToFit="false"/>
      <protection locked="true" hidden="true"/>
    </xf>
    <xf numFmtId="164" fontId="0" fillId="13" borderId="50" xfId="0" applyFont="false" applyBorder="true" applyAlignment="false" applyProtection="true">
      <alignment horizontal="general" vertical="bottom" textRotation="0" wrapText="false" indent="0" shrinkToFit="false"/>
      <protection locked="true" hidden="true"/>
    </xf>
    <xf numFmtId="164" fontId="58" fillId="13" borderId="50" xfId="0" applyFont="true" applyBorder="true" applyAlignment="false" applyProtection="true">
      <alignment horizontal="general" vertical="bottom" textRotation="0" wrapText="false" indent="0" shrinkToFit="false"/>
      <protection locked="true" hidden="true"/>
    </xf>
    <xf numFmtId="164" fontId="58" fillId="11"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10" borderId="52" xfId="0" applyFont="true" applyBorder="true" applyAlignment="false" applyProtection="true">
      <alignment horizontal="general" vertical="bottom" textRotation="0" wrapText="false" indent="0" shrinkToFit="false"/>
      <protection locked="true" hidden="true"/>
    </xf>
    <xf numFmtId="164" fontId="26" fillId="10" borderId="53" xfId="0" applyFont="true" applyBorder="true" applyAlignment="true" applyProtection="true">
      <alignment horizontal="center" vertical="bottom" textRotation="0" wrapText="false" indent="0" shrinkToFit="false"/>
      <protection locked="true" hidden="true"/>
    </xf>
    <xf numFmtId="164" fontId="26" fillId="10" borderId="29"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64" fontId="26" fillId="10" borderId="4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3" borderId="54" xfId="0" applyFont="true" applyBorder="true" applyAlignment="true" applyProtection="true">
      <alignment horizontal="left" vertical="bottom" textRotation="0" wrapText="false" indent="0" shrinkToFit="false"/>
      <protection locked="true" hidden="true"/>
    </xf>
    <xf numFmtId="164" fontId="26" fillId="13" borderId="55" xfId="0" applyFont="true" applyBorder="true" applyAlignment="true" applyProtection="true">
      <alignment horizontal="center" vertical="bottom" textRotation="0" wrapText="false" indent="0" shrinkToFit="false"/>
      <protection locked="true" hidden="true"/>
    </xf>
    <xf numFmtId="164" fontId="90" fillId="13" borderId="55" xfId="0" applyFont="true" applyBorder="true" applyAlignment="true" applyProtection="true">
      <alignment horizontal="center" vertical="bottom" textRotation="0" wrapText="false" indent="0" shrinkToFit="false"/>
      <protection locked="true" hidden="true"/>
    </xf>
    <xf numFmtId="172" fontId="27" fillId="13" borderId="56" xfId="0" applyFont="true" applyBorder="true" applyAlignment="true" applyProtection="true">
      <alignment horizontal="left" vertical="top" textRotation="0" wrapText="false" indent="0" shrinkToFit="false"/>
      <protection locked="true" hidden="true"/>
    </xf>
    <xf numFmtId="172" fontId="27" fillId="13" borderId="57" xfId="0" applyFont="true" applyBorder="true" applyAlignment="true" applyProtection="true">
      <alignment horizontal="left" vertical="top" textRotation="0" wrapText="false" indent="0" shrinkToFit="false"/>
      <protection locked="true" hidden="true"/>
    </xf>
    <xf numFmtId="172" fontId="59" fillId="13" borderId="49" xfId="0" applyFont="true" applyBorder="true" applyAlignment="true" applyProtection="true">
      <alignment horizontal="left" vertical="top" textRotation="0" wrapText="false" indent="0" shrinkToFit="false"/>
      <protection locked="true" hidden="true"/>
    </xf>
    <xf numFmtId="172" fontId="20" fillId="13" borderId="49" xfId="0" applyFont="true" applyBorder="true" applyAlignment="true" applyProtection="true">
      <alignment horizontal="center" vertical="top" textRotation="0" wrapText="false" indent="0" shrinkToFit="false"/>
      <protection locked="true" hidden="true"/>
    </xf>
    <xf numFmtId="172" fontId="59" fillId="11" borderId="51" xfId="0" applyFont="true" applyBorder="true" applyAlignment="true" applyProtection="true">
      <alignment horizontal="left" vertical="top" textRotation="0" wrapText="false" indent="0" shrinkToFit="false"/>
      <protection locked="true" hidden="true"/>
    </xf>
    <xf numFmtId="164" fontId="26" fillId="5" borderId="30" xfId="0" applyFont="true" applyBorder="true" applyAlignment="true" applyProtection="true">
      <alignment horizontal="center" vertical="bottom" textRotation="0" wrapText="false" indent="0" shrinkToFit="false"/>
      <protection locked="false" hidden="false"/>
    </xf>
    <xf numFmtId="164" fontId="26" fillId="10" borderId="0" xfId="0" applyFont="true" applyBorder="true" applyAlignment="true" applyProtection="true">
      <alignment horizontal="center" vertical="bottom" textRotation="0" wrapText="false" indent="0" shrinkToFit="false"/>
      <protection locked="true" hidden="true"/>
    </xf>
    <xf numFmtId="164" fontId="58" fillId="13" borderId="58" xfId="0" applyFont="true" applyBorder="true" applyAlignment="true" applyProtection="true">
      <alignment horizontal="left" vertical="bottom" textRotation="0" wrapText="false" indent="0" shrinkToFit="false"/>
      <protection locked="true" hidden="true"/>
    </xf>
    <xf numFmtId="164" fontId="26" fillId="13" borderId="59" xfId="0" applyFont="true" applyBorder="true" applyAlignment="true" applyProtection="true">
      <alignment horizontal="center" vertical="bottom" textRotation="0" wrapText="false" indent="0" shrinkToFit="false"/>
      <protection locked="true" hidden="true"/>
    </xf>
    <xf numFmtId="164" fontId="0" fillId="13" borderId="59" xfId="0" applyFont="false" applyBorder="true" applyAlignment="false" applyProtection="true">
      <alignment horizontal="general" vertical="bottom" textRotation="0" wrapText="false" indent="0" shrinkToFit="false"/>
      <protection locked="true" hidden="true"/>
    </xf>
    <xf numFmtId="164" fontId="18" fillId="13" borderId="60" xfId="0" applyFont="true" applyBorder="true" applyAlignment="true" applyProtection="true">
      <alignment horizontal="left" vertical="bottom" textRotation="0" wrapText="false" indent="0" shrinkToFit="false"/>
      <protection locked="true" hidden="true"/>
    </xf>
    <xf numFmtId="164" fontId="26" fillId="13" borderId="61" xfId="0" applyFont="true" applyBorder="true" applyAlignment="true" applyProtection="true">
      <alignment horizontal="right" vertical="top" textRotation="0" wrapText="false" indent="0" shrinkToFit="false"/>
      <protection locked="true" hidden="true"/>
    </xf>
    <xf numFmtId="164" fontId="91" fillId="13" borderId="62" xfId="0" applyFont="true" applyBorder="true" applyAlignment="true" applyProtection="true">
      <alignment horizontal="center" vertical="top" textRotation="0" wrapText="false" indent="0" shrinkToFit="false"/>
      <protection locked="true" hidden="true"/>
    </xf>
    <xf numFmtId="164" fontId="91" fillId="11" borderId="51" xfId="0" applyFont="true" applyBorder="true" applyAlignment="true" applyProtection="true">
      <alignment horizontal="center" vertical="top" textRotation="0" wrapText="false" indent="0" shrinkToFit="false"/>
      <protection locked="true" hidden="true"/>
    </xf>
    <xf numFmtId="164" fontId="92" fillId="10"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12"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true" hidden="true"/>
    </xf>
    <xf numFmtId="164" fontId="20" fillId="13" borderId="0" xfId="0" applyFont="true" applyBorder="true" applyAlignment="true" applyProtection="true">
      <alignment horizontal="center" vertical="bottom" textRotation="0" wrapText="false" indent="0" shrinkToFit="false"/>
      <protection locked="true" hidden="true"/>
    </xf>
    <xf numFmtId="164" fontId="93" fillId="13" borderId="0" xfId="0" applyFont="true" applyBorder="true" applyAlignment="true" applyProtection="true">
      <alignment horizontal="center" vertical="bottom" textRotation="90" wrapText="false" indent="0" shrinkToFit="false"/>
      <protection locked="true" hidden="true"/>
    </xf>
    <xf numFmtId="164" fontId="59" fillId="13" borderId="0" xfId="0" applyFont="true" applyBorder="true" applyAlignment="true" applyProtection="true">
      <alignment horizontal="right" vertical="bottom" textRotation="0" wrapText="false" indent="0" shrinkToFit="false"/>
      <protection locked="true" hidden="true"/>
    </xf>
    <xf numFmtId="164" fontId="94" fillId="13" borderId="27" xfId="0" applyFont="true" applyBorder="true" applyAlignment="true" applyProtection="true">
      <alignment horizontal="left" vertical="top" textRotation="0" wrapText="false" indent="0" shrinkToFit="false"/>
      <protection locked="true" hidden="true"/>
    </xf>
    <xf numFmtId="164" fontId="95" fillId="13" borderId="28" xfId="0" applyFont="true" applyBorder="true" applyAlignment="true" applyProtection="true">
      <alignment horizontal="left" vertical="top" textRotation="0" wrapText="false" indent="0" shrinkToFit="false"/>
      <protection locked="true" hidden="true"/>
    </xf>
    <xf numFmtId="164" fontId="95" fillId="11" borderId="51" xfId="0" applyFont="true" applyBorder="true" applyAlignment="true" applyProtection="true">
      <alignment horizontal="left" vertical="top" textRotation="0" wrapText="false" indent="0" shrinkToFit="false"/>
      <protection locked="true" hidden="true"/>
    </xf>
    <xf numFmtId="164" fontId="26" fillId="10" borderId="39" xfId="0" applyFont="true" applyBorder="true" applyAlignment="true" applyProtection="true">
      <alignment horizontal="center" vertical="bottom" textRotation="0" wrapText="false" indent="0" shrinkToFit="false"/>
      <protection locked="true" hidden="true"/>
    </xf>
    <xf numFmtId="164" fontId="59" fillId="8" borderId="0" xfId="0" applyFont="true" applyBorder="false" applyAlignment="true" applyProtection="true">
      <alignment horizontal="left" vertical="bottom" textRotation="0" wrapText="false" indent="0" shrinkToFit="false"/>
      <protection locked="true" hidden="true"/>
    </xf>
    <xf numFmtId="164" fontId="59" fillId="8" borderId="0" xfId="0" applyFont="true" applyBorder="false" applyAlignment="true" applyProtection="true">
      <alignment horizontal="right" vertical="bottom" textRotation="0" wrapText="false" indent="0" shrinkToFit="false"/>
      <protection locked="true" hidden="true"/>
    </xf>
    <xf numFmtId="164" fontId="20" fillId="12" borderId="0" xfId="0" applyFont="true" applyBorder="false" applyAlignment="true" applyProtection="true">
      <alignment horizontal="center" vertical="bottom" textRotation="0" wrapText="false" indent="0" shrinkToFit="false"/>
      <protection locked="true" hidden="true"/>
    </xf>
    <xf numFmtId="164" fontId="57" fillId="13" borderId="63" xfId="0" applyFont="true" applyBorder="true" applyAlignment="true" applyProtection="true">
      <alignment horizontal="right" vertical="top" textRotation="0" wrapText="false" indent="0" shrinkToFit="false"/>
      <protection locked="true" hidden="true"/>
    </xf>
    <xf numFmtId="171" fontId="20" fillId="13" borderId="0" xfId="0" applyFont="true" applyBorder="true" applyAlignment="true" applyProtection="true">
      <alignment horizontal="left" vertical="top" textRotation="0" wrapText="false" indent="0" shrinkToFit="false"/>
      <protection locked="true" hidden="true"/>
    </xf>
    <xf numFmtId="171" fontId="20" fillId="11"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12" borderId="40" xfId="0" applyFont="true" applyBorder="true" applyAlignment="true" applyProtection="true">
      <alignment horizontal="center" vertical="bottom" textRotation="0" wrapText="false" indent="0" shrinkToFit="false"/>
      <protection locked="true" hidden="true"/>
    </xf>
    <xf numFmtId="172" fontId="22" fillId="8" borderId="40"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12" borderId="40" xfId="0" applyFont="true" applyBorder="true" applyAlignment="true" applyProtection="true">
      <alignment horizontal="center" vertical="bottom" textRotation="0" wrapText="false" indent="0" shrinkToFit="false"/>
      <protection locked="true" hidden="true"/>
    </xf>
    <xf numFmtId="164" fontId="26" fillId="13" borderId="51" xfId="0" applyFont="true" applyBorder="true" applyAlignment="true" applyProtection="true">
      <alignment horizontal="center" vertical="bottom" textRotation="0" wrapText="false" indent="0" shrinkToFit="false"/>
      <protection locked="true" hidden="true"/>
    </xf>
    <xf numFmtId="164" fontId="26" fillId="13" borderId="0" xfId="0" applyFont="true" applyBorder="true" applyAlignment="true" applyProtection="true">
      <alignment horizontal="center" vertical="bottom" textRotation="0" wrapText="false" indent="0" shrinkToFit="false"/>
      <protection locked="true" hidden="true"/>
    </xf>
    <xf numFmtId="172" fontId="20" fillId="13"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6" fillId="10" borderId="52" xfId="0" applyFont="true" applyBorder="true" applyAlignment="false" applyProtection="true">
      <alignment horizontal="general" vertical="bottom" textRotation="0" wrapText="false" indent="0" shrinkToFit="false"/>
      <protection locked="true" hidden="true"/>
    </xf>
    <xf numFmtId="172" fontId="20" fillId="14" borderId="43" xfId="0" applyFont="true" applyBorder="true" applyAlignment="true" applyProtection="true">
      <alignment horizontal="center" vertical="bottom" textRotation="0" wrapText="false" indent="0" shrinkToFit="false"/>
      <protection locked="false" hidden="false"/>
    </xf>
    <xf numFmtId="172" fontId="20" fillId="14" borderId="17" xfId="0" applyFont="true" applyBorder="true" applyAlignment="true" applyProtection="true">
      <alignment horizontal="center" vertical="bottom" textRotation="0" wrapText="false" indent="0" shrinkToFit="false"/>
      <protection locked="false" hidden="false"/>
    </xf>
    <xf numFmtId="175" fontId="20" fillId="12" borderId="40" xfId="0" applyFont="true" applyBorder="true" applyAlignment="true" applyProtection="true">
      <alignment horizontal="center" vertical="bottom" textRotation="0" wrapText="false" indent="0" shrinkToFit="false"/>
      <protection locked="true" hidden="true"/>
    </xf>
    <xf numFmtId="164" fontId="20" fillId="12" borderId="40" xfId="0" applyFont="true" applyBorder="true" applyAlignment="true" applyProtection="true">
      <alignment horizontal="center" vertical="bottom" textRotation="0" wrapText="false" indent="0" shrinkToFit="false"/>
      <protection locked="true" hidden="true"/>
    </xf>
    <xf numFmtId="164" fontId="20" fillId="13" borderId="66" xfId="0" applyFont="true" applyBorder="true" applyAlignment="true" applyProtection="true">
      <alignment horizontal="center" vertical="bottom" textRotation="0" wrapText="false" indent="0" shrinkToFit="false"/>
      <protection locked="true" hidden="true"/>
    </xf>
    <xf numFmtId="172" fontId="58" fillId="13" borderId="40" xfId="0" applyFont="true" applyBorder="true" applyAlignment="true" applyProtection="true">
      <alignment horizontal="left"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true" hidden="true"/>
    </xf>
    <xf numFmtId="164" fontId="57" fillId="13" borderId="0"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left" vertical="top" textRotation="0" wrapText="false" indent="0" shrinkToFit="false"/>
      <protection locked="true" hidden="true"/>
    </xf>
    <xf numFmtId="164" fontId="59" fillId="10" borderId="67" xfId="0" applyFont="true" applyBorder="true" applyAlignment="false" applyProtection="true">
      <alignment horizontal="general" vertical="bottom" textRotation="0" wrapText="false" indent="0" shrinkToFit="false"/>
      <protection locked="true" hidden="true"/>
    </xf>
    <xf numFmtId="172" fontId="20" fillId="14" borderId="68" xfId="0" applyFont="true" applyBorder="true" applyAlignment="true" applyProtection="true">
      <alignment horizontal="center" vertical="bottom" textRotation="0" wrapText="false" indent="0" shrinkToFit="false"/>
      <protection locked="false" hidden="false"/>
    </xf>
    <xf numFmtId="172" fontId="20" fillId="14" borderId="69" xfId="0" applyFont="true" applyBorder="true" applyAlignment="true" applyProtection="true">
      <alignment horizontal="center" vertical="bottom" textRotation="0" wrapText="false" indent="0" shrinkToFit="false"/>
      <protection locked="false" hidden="false"/>
    </xf>
    <xf numFmtId="175" fontId="20" fillId="12" borderId="0" xfId="0" applyFont="true" applyBorder="true" applyAlignment="true" applyProtection="true">
      <alignment horizontal="center" vertical="bottom" textRotation="0" wrapText="false" indent="0" shrinkToFit="false"/>
      <protection locked="true" hidden="true"/>
    </xf>
    <xf numFmtId="172" fontId="43" fillId="8" borderId="0" xfId="0" applyFont="true" applyBorder="false" applyAlignment="false" applyProtection="true">
      <alignment horizontal="general" vertical="bottom" textRotation="0" wrapText="false" indent="0" shrinkToFit="false"/>
      <protection locked="true" hidden="true"/>
    </xf>
    <xf numFmtId="175" fontId="43" fillId="8" borderId="0" xfId="0" applyFont="true" applyBorder="true" applyAlignment="false" applyProtection="true">
      <alignment horizontal="general" vertical="bottom" textRotation="0" wrapText="false" indent="0" shrinkToFit="false"/>
      <protection locked="true" hidden="true"/>
    </xf>
    <xf numFmtId="165" fontId="20" fillId="13" borderId="70" xfId="0" applyFont="true" applyBorder="true" applyAlignment="true" applyProtection="true">
      <alignment horizontal="center" vertical="bottom" textRotation="0" wrapText="false" indent="0" shrinkToFit="false"/>
      <protection locked="true" hidden="true"/>
    </xf>
    <xf numFmtId="176" fontId="20" fillId="13" borderId="0" xfId="0" applyFont="true" applyBorder="true" applyAlignment="true" applyProtection="true">
      <alignment horizontal="center" vertical="bottom" textRotation="0" wrapText="false" indent="0" shrinkToFit="false"/>
      <protection locked="true" hidden="true"/>
    </xf>
    <xf numFmtId="165" fontId="20" fillId="13" borderId="21" xfId="0" applyFont="true" applyBorder="true" applyAlignment="true" applyProtection="true">
      <alignment horizontal="left" vertical="bottom" textRotation="0" wrapText="false" indent="0" shrinkToFit="false"/>
      <protection locked="true" hidden="true"/>
    </xf>
    <xf numFmtId="164" fontId="59" fillId="10" borderId="71" xfId="0" applyFont="true" applyBorder="true" applyAlignment="false" applyProtection="true">
      <alignment horizontal="general" vertical="bottom" textRotation="0" wrapText="false" indent="0" shrinkToFit="false"/>
      <protection locked="true" hidden="true"/>
    </xf>
    <xf numFmtId="172" fontId="20" fillId="14" borderId="72" xfId="0" applyFont="true" applyBorder="true" applyAlignment="true" applyProtection="true">
      <alignment horizontal="center" vertical="bottom" textRotation="0" wrapText="false" indent="0" shrinkToFit="false"/>
      <protection locked="false" hidden="false"/>
    </xf>
    <xf numFmtId="172" fontId="20" fillId="14" borderId="33" xfId="0" applyFont="true" applyBorder="true" applyAlignment="true" applyProtection="true">
      <alignment horizontal="center" vertical="bottom" textRotation="0" wrapText="false" indent="0" shrinkToFit="false"/>
      <protection locked="false" hidden="false"/>
    </xf>
    <xf numFmtId="175" fontId="43" fillId="8" borderId="0" xfId="0" applyFont="true" applyBorder="false" applyAlignment="false" applyProtection="true">
      <alignment horizontal="general" vertical="bottom" textRotation="0" wrapText="false" indent="0" shrinkToFit="false"/>
      <protection locked="true" hidden="true"/>
    </xf>
    <xf numFmtId="165" fontId="20" fillId="13" borderId="51" xfId="0" applyFont="true" applyBorder="true" applyAlignment="true" applyProtection="true">
      <alignment horizontal="center" vertical="bottom" textRotation="0" wrapText="false" indent="0" shrinkToFit="false"/>
      <protection locked="true" hidden="true"/>
    </xf>
    <xf numFmtId="165" fontId="20" fillId="13" borderId="0" xfId="0" applyFont="true" applyBorder="true" applyAlignment="true" applyProtection="true">
      <alignment horizontal="left" vertical="bottom" textRotation="0" wrapText="false" indent="0" shrinkToFit="false"/>
      <protection locked="true" hidden="true"/>
    </xf>
    <xf numFmtId="164" fontId="94" fillId="13" borderId="39" xfId="0" applyFont="true" applyBorder="true" applyAlignment="true" applyProtection="true">
      <alignment horizontal="left" vertical="top" textRotation="0" wrapText="false" indent="0" shrinkToFit="false"/>
      <protection locked="true" hidden="true"/>
    </xf>
    <xf numFmtId="164" fontId="58" fillId="13" borderId="40" xfId="0" applyFont="true" applyBorder="true" applyAlignment="true" applyProtection="true">
      <alignment horizontal="left" vertical="top" textRotation="0" wrapText="false" indent="0" shrinkToFit="false"/>
      <protection locked="true" hidden="true"/>
    </xf>
    <xf numFmtId="164" fontId="95" fillId="13" borderId="40" xfId="0" applyFont="true" applyBorder="true" applyAlignment="true" applyProtection="true">
      <alignment horizontal="left" vertical="top" textRotation="0" wrapText="false" indent="0" shrinkToFit="false"/>
      <protection locked="true" hidden="true"/>
    </xf>
    <xf numFmtId="164" fontId="58" fillId="11" borderId="51" xfId="0" applyFont="true" applyBorder="true" applyAlignment="true" applyProtection="true">
      <alignment horizontal="left" vertical="top" textRotation="0" wrapText="false" indent="0" shrinkToFit="false"/>
      <protection locked="true" hidden="true"/>
    </xf>
    <xf numFmtId="164" fontId="59" fillId="13" borderId="24" xfId="0" applyFont="true" applyBorder="true" applyAlignment="true" applyProtection="true">
      <alignment horizontal="right" vertical="top" textRotation="0" wrapText="false" indent="0" shrinkToFit="false"/>
      <protection locked="true" hidden="true"/>
    </xf>
    <xf numFmtId="176" fontId="20" fillId="13" borderId="25" xfId="0" applyFont="true" applyBorder="true" applyAlignment="true" applyProtection="true">
      <alignment horizontal="right" vertical="top" textRotation="0" wrapText="false" indent="0" shrinkToFit="false"/>
      <protection locked="true" hidden="true"/>
    </xf>
    <xf numFmtId="164" fontId="20" fillId="13" borderId="25"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right" vertical="top" textRotation="0" wrapText="false" indent="0" shrinkToFit="false"/>
      <protection locked="true" hidden="true"/>
    </xf>
    <xf numFmtId="164" fontId="59" fillId="13" borderId="73" xfId="0" applyFont="true" applyBorder="true" applyAlignment="true" applyProtection="true">
      <alignment horizontal="right" vertical="top" textRotation="0" wrapText="false" indent="0" shrinkToFit="false"/>
      <protection locked="true" hidden="true"/>
    </xf>
    <xf numFmtId="176" fontId="20" fillId="13" borderId="74" xfId="0" applyFont="true" applyBorder="true" applyAlignment="true" applyProtection="true">
      <alignment horizontal="right" vertical="top" textRotation="0" wrapText="false" indent="0" shrinkToFit="false"/>
      <protection locked="true" hidden="true"/>
    </xf>
    <xf numFmtId="164" fontId="20" fillId="13" borderId="74" xfId="0" applyFont="true" applyBorder="true" applyAlignment="true" applyProtection="true">
      <alignment horizontal="left" vertical="top" textRotation="0" wrapText="false" indent="0" shrinkToFit="false"/>
      <protection locked="true" hidden="true"/>
    </xf>
    <xf numFmtId="164" fontId="59" fillId="10"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64" fontId="59" fillId="13" borderId="63"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right" vertical="top" textRotation="0" wrapText="false" indent="0" shrinkToFit="false"/>
      <protection locked="true" hidden="true"/>
    </xf>
    <xf numFmtId="164" fontId="20" fillId="13" borderId="0" xfId="0" applyFont="true" applyBorder="true" applyAlignment="true" applyProtection="true">
      <alignment horizontal="left" vertical="top" textRotation="0" wrapText="false" indent="0" shrinkToFit="false"/>
      <protection locked="true" hidden="true"/>
    </xf>
    <xf numFmtId="175" fontId="20" fillId="12" borderId="25" xfId="0" applyFont="true" applyBorder="true" applyAlignment="true" applyProtection="true">
      <alignment horizontal="center" vertical="bottom" textRotation="0" wrapText="false" indent="0" shrinkToFit="false"/>
      <protection locked="true" hidden="true"/>
    </xf>
    <xf numFmtId="172" fontId="43" fillId="8" borderId="25" xfId="0" applyFont="true" applyBorder="true" applyAlignment="false" applyProtection="true">
      <alignment horizontal="general" vertical="bottom" textRotation="0" wrapText="false" indent="0" shrinkToFit="false"/>
      <protection locked="true" hidden="true"/>
    </xf>
    <xf numFmtId="165" fontId="20" fillId="1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59" fillId="10"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37" xfId="0" applyFont="true" applyBorder="true" applyAlignment="true" applyProtection="true">
      <alignment horizontal="center" vertical="bottom" textRotation="0" wrapText="false" indent="0" shrinkToFit="false"/>
      <protection locked="false" hidden="false"/>
    </xf>
    <xf numFmtId="175" fontId="58" fillId="12" borderId="0" xfId="0" applyFont="true" applyBorder="true" applyAlignment="true" applyProtection="true">
      <alignment horizontal="center" vertical="bottom" textRotation="0" wrapText="false" indent="0" shrinkToFit="false"/>
      <protection locked="true" hidden="true"/>
    </xf>
    <xf numFmtId="164" fontId="0" fillId="13" borderId="0" xfId="0" applyFont="false" applyBorder="false" applyAlignment="false" applyProtection="true">
      <alignment horizontal="general" vertical="bottom" textRotation="0" wrapText="false" indent="0" shrinkToFit="false"/>
      <protection locked="true" hidden="true"/>
    </xf>
    <xf numFmtId="164" fontId="0" fillId="11" borderId="51" xfId="0" applyFont="false" applyBorder="tru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97" fillId="8" borderId="39" xfId="0" applyFont="true" applyBorder="true" applyAlignment="false" applyProtection="true">
      <alignment horizontal="general" vertical="bottom" textRotation="0" wrapText="false" indent="0" shrinkToFit="false"/>
      <protection locked="true" hidden="true"/>
    </xf>
    <xf numFmtId="164" fontId="97" fillId="8" borderId="40" xfId="0" applyFont="true" applyBorder="true" applyAlignment="true" applyProtection="true">
      <alignment horizontal="center" vertical="bottom" textRotation="0" wrapText="false" indent="0" shrinkToFit="false"/>
      <protection locked="true" hidden="true"/>
    </xf>
    <xf numFmtId="164" fontId="59" fillId="8" borderId="43" xfId="0" applyFont="true" applyBorder="true" applyAlignment="false" applyProtection="true">
      <alignment horizontal="general" vertical="bottom" textRotation="0" wrapText="false" indent="0" shrinkToFit="false"/>
      <protection locked="true" hidden="true"/>
    </xf>
    <xf numFmtId="174" fontId="98" fillId="12" borderId="58" xfId="0" applyFont="true" applyBorder="true" applyAlignment="false" applyProtection="true">
      <alignment horizontal="general" vertical="bottom" textRotation="0" wrapText="false" indent="0" shrinkToFit="false"/>
      <protection locked="true" hidden="true"/>
    </xf>
    <xf numFmtId="174" fontId="92" fillId="12" borderId="58" xfId="0" applyFont="true" applyBorder="true" applyAlignment="false" applyProtection="true">
      <alignment horizontal="general" vertical="bottom" textRotation="0" wrapText="false" indent="0" shrinkToFit="false"/>
      <protection locked="true" hidden="true"/>
    </xf>
    <xf numFmtId="172" fontId="29" fillId="10" borderId="40" xfId="0" applyFont="true" applyBorder="true" applyAlignment="true" applyProtection="true">
      <alignment horizontal="right" vertical="bottom" textRotation="0" wrapText="false" indent="0" shrinkToFit="false"/>
      <protection locked="true" hidden="true"/>
    </xf>
    <xf numFmtId="164" fontId="59" fillId="12" borderId="0" xfId="0" applyFont="true" applyBorder="true" applyAlignment="false" applyProtection="true">
      <alignment horizontal="general" vertical="bottom" textRotation="0" wrapText="false" indent="0" shrinkToFit="false"/>
      <protection locked="true" hidden="true"/>
    </xf>
    <xf numFmtId="164" fontId="0" fillId="13" borderId="58" xfId="0" applyFont="false" applyBorder="true" applyAlignment="false" applyProtection="true">
      <alignment horizontal="general" vertical="bottom" textRotation="0" wrapText="false" indent="0" shrinkToFit="false"/>
      <protection locked="true" hidden="true"/>
    </xf>
    <xf numFmtId="164" fontId="59" fillId="13" borderId="59" xfId="0" applyFont="true" applyBorder="true" applyAlignment="false" applyProtection="true">
      <alignment horizontal="general" vertical="bottom" textRotation="0" wrapText="false" indent="0" shrinkToFit="false"/>
      <protection locked="true" hidden="true"/>
    </xf>
    <xf numFmtId="172" fontId="26" fillId="13" borderId="59" xfId="0" applyFont="true" applyBorder="true" applyAlignment="true" applyProtection="true">
      <alignment horizontal="left" vertical="bottom" textRotation="0" wrapText="false" indent="0" shrinkToFit="false"/>
      <protection locked="true" hidden="true"/>
    </xf>
    <xf numFmtId="172" fontId="26" fillId="13" borderId="80" xfId="0" applyFont="true" applyBorder="true" applyAlignment="true" applyProtection="true">
      <alignment horizontal="left" vertical="bottom" textRotation="0" wrapText="false" indent="0" shrinkToFit="false"/>
      <protection locked="true" hidden="true"/>
    </xf>
    <xf numFmtId="164" fontId="0" fillId="13" borderId="81" xfId="0" applyFont="false" applyBorder="true" applyAlignment="false" applyProtection="true">
      <alignment horizontal="general" vertical="bottom" textRotation="0" wrapText="false" indent="0" shrinkToFit="false"/>
      <protection locked="true" hidden="true"/>
    </xf>
    <xf numFmtId="164" fontId="20" fillId="13" borderId="59" xfId="0" applyFont="true" applyBorder="true" applyAlignment="true" applyProtection="true">
      <alignment horizontal="left" vertical="top" textRotation="0" wrapText="false" indent="0" shrinkToFit="false"/>
      <protection locked="true" hidden="true"/>
    </xf>
    <xf numFmtId="164" fontId="26" fillId="10" borderId="52" xfId="0" applyFont="true" applyBorder="true" applyAlignment="false" applyProtection="true">
      <alignment horizontal="general" vertical="bottom" textRotation="0" wrapText="false" indent="0" shrinkToFit="false"/>
      <protection locked="true" hidden="true"/>
    </xf>
    <xf numFmtId="174" fontId="20" fillId="10" borderId="43" xfId="0" applyFont="true" applyBorder="true" applyAlignment="true" applyProtection="true">
      <alignment horizontal="center" vertical="bottom" textRotation="0" wrapText="false" indent="0" shrinkToFit="false"/>
      <protection locked="true" hidden="true"/>
    </xf>
    <xf numFmtId="172" fontId="20" fillId="10" borderId="17" xfId="0" applyFont="true" applyBorder="true" applyAlignment="true" applyProtection="true">
      <alignment horizontal="center" vertical="bottom" textRotation="0" wrapText="false" indent="0" shrinkToFit="false"/>
      <protection locked="true" hidden="true"/>
    </xf>
    <xf numFmtId="164" fontId="20" fillId="12" borderId="24" xfId="0" applyFont="true" applyBorder="true" applyAlignment="true" applyProtection="true">
      <alignment horizontal="center" vertical="bottom" textRotation="0" wrapText="false" indent="0" shrinkToFit="false"/>
      <protection locked="true" hidden="true"/>
    </xf>
    <xf numFmtId="164" fontId="58" fillId="12" borderId="24" xfId="0" applyFont="true" applyBorder="true" applyAlignment="true" applyProtection="true">
      <alignment horizontal="center" vertical="bottom" textRotation="0" wrapText="false" indent="0" shrinkToFit="false"/>
      <protection locked="true" hidden="true"/>
    </xf>
    <xf numFmtId="172" fontId="43" fillId="10" borderId="0" xfId="0" applyFont="true" applyBorder="false" applyAlignment="false" applyProtection="true">
      <alignment horizontal="general" vertical="bottom" textRotation="0" wrapText="false" indent="0" shrinkToFit="false"/>
      <protection locked="true" hidden="true"/>
    </xf>
    <xf numFmtId="165" fontId="26" fillId="10" borderId="24" xfId="0" applyFont="true" applyBorder="true" applyAlignment="true" applyProtection="true">
      <alignment horizontal="center" vertical="bottom" textRotation="0" wrapText="false" indent="0" shrinkToFit="false"/>
      <protection locked="true" hidden="true"/>
    </xf>
    <xf numFmtId="165" fontId="26" fillId="12" borderId="25" xfId="0" applyFont="true" applyBorder="true" applyAlignment="true" applyProtection="true">
      <alignment horizontal="center" vertical="bottom" textRotation="0" wrapText="false" indent="0" shrinkToFit="false"/>
      <protection locked="true" hidden="true"/>
    </xf>
    <xf numFmtId="165" fontId="26" fillId="10" borderId="0" xfId="0" applyFont="true" applyBorder="true" applyAlignment="true" applyProtection="true">
      <alignment horizontal="center" vertical="bottom" textRotation="0" wrapText="false" indent="0" shrinkToFit="false"/>
      <protection locked="true" hidden="true"/>
    </xf>
    <xf numFmtId="164" fontId="26" fillId="10" borderId="25" xfId="0" applyFont="true" applyBorder="true" applyAlignment="true" applyProtection="true">
      <alignment horizontal="center" vertical="bottom" textRotation="0" wrapText="false" indent="0" shrinkToFit="false"/>
      <protection locked="true" hidden="true"/>
    </xf>
    <xf numFmtId="164" fontId="59" fillId="10" borderId="0" xfId="0" applyFont="true" applyBorder="true" applyAlignment="true" applyProtection="true">
      <alignment horizontal="left" vertical="bottom" textRotation="0" wrapText="false" indent="0" shrinkToFit="false"/>
      <protection locked="true" hidden="true"/>
    </xf>
    <xf numFmtId="164" fontId="59" fillId="10" borderId="50" xfId="0" applyFont="true" applyBorder="true" applyAlignment="true" applyProtection="true">
      <alignment horizontal="left" vertical="bottom" textRotation="0" wrapText="false" indent="0" shrinkToFit="false"/>
      <protection locked="true" hidden="true"/>
    </xf>
    <xf numFmtId="164" fontId="59" fillId="11" borderId="63" xfId="0" applyFont="true" applyBorder="true" applyAlignment="true" applyProtection="true">
      <alignment horizontal="left" vertical="bottom" textRotation="0" wrapText="false" indent="0" shrinkToFit="false"/>
      <protection locked="true" hidden="true"/>
    </xf>
    <xf numFmtId="164" fontId="58" fillId="12" borderId="0" xfId="0" applyFont="true" applyBorder="false" applyAlignment="true" applyProtection="true">
      <alignment horizontal="left" vertical="bottom" textRotation="0" wrapText="false" indent="0" shrinkToFit="false"/>
      <protection locked="true" hidden="true"/>
    </xf>
    <xf numFmtId="164" fontId="59" fillId="10" borderId="52" xfId="0" applyFont="true" applyBorder="true" applyAlignment="true" applyProtection="true">
      <alignment horizontal="righ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75" fontId="92" fillId="12" borderId="0" xfId="0" applyFont="true" applyBorder="true" applyAlignment="true" applyProtection="true">
      <alignment horizontal="left" vertical="bottom" textRotation="0" wrapText="false" indent="0" shrinkToFit="false"/>
      <protection locked="true" hidden="true"/>
    </xf>
    <xf numFmtId="172" fontId="26" fillId="10" borderId="30" xfId="0" applyFont="true" applyBorder="true" applyAlignment="true" applyProtection="true">
      <alignment horizontal="center" vertical="bottom" textRotation="0" wrapText="false" indent="0" shrinkToFit="false"/>
      <protection locked="true" hidden="true"/>
    </xf>
    <xf numFmtId="175" fontId="97" fillId="10" borderId="0" xfId="0" applyFont="true" applyBorder="true" applyAlignment="true" applyProtection="true">
      <alignment horizontal="left" vertical="bottom" textRotation="0" wrapText="false" indent="0" shrinkToFit="false"/>
      <protection locked="true" hidden="true"/>
    </xf>
    <xf numFmtId="175" fontId="20" fillId="10" borderId="0" xfId="0" applyFont="true" applyBorder="true" applyAlignment="true" applyProtection="true">
      <alignment horizontal="center" vertical="bottom" textRotation="0" wrapText="false" indent="0" shrinkToFit="false"/>
      <protection locked="true" hidden="true"/>
    </xf>
    <xf numFmtId="175" fontId="26" fillId="10" borderId="0" xfId="0" applyFont="true" applyBorder="true" applyAlignment="true" applyProtection="true">
      <alignment horizontal="center" vertical="bottom" textRotation="0" wrapText="false" indent="0" shrinkToFit="false"/>
      <protection locked="true" hidden="true"/>
    </xf>
    <xf numFmtId="164" fontId="99" fillId="10" borderId="0" xfId="0" applyFont="true" applyBorder="true" applyAlignment="false" applyProtection="true">
      <alignment horizontal="general" vertical="bottom" textRotation="0" wrapText="false" indent="0" shrinkToFit="false"/>
      <protection locked="true" hidden="true"/>
    </xf>
    <xf numFmtId="164" fontId="99" fillId="10" borderId="28" xfId="0" applyFont="true" applyBorder="true" applyAlignment="false" applyProtection="true">
      <alignment horizontal="general" vertical="bottom" textRotation="0" wrapText="false" indent="0" shrinkToFit="false"/>
      <protection locked="true" hidden="true"/>
    </xf>
    <xf numFmtId="164" fontId="99" fillId="11" borderId="27" xfId="0" applyFont="true" applyBorder="true" applyAlignment="false" applyProtection="true">
      <alignment horizontal="general" vertical="bottom" textRotation="0" wrapText="false" indent="0" shrinkToFit="false"/>
      <protection locked="true" hidden="true"/>
    </xf>
    <xf numFmtId="164" fontId="58" fillId="12" borderId="0" xfId="0" applyFont="true" applyBorder="false" applyAlignment="false" applyProtection="true">
      <alignment horizontal="general" vertical="bottom" textRotation="0" wrapText="false" indent="0" shrinkToFit="false"/>
      <protection locked="true" hidden="true"/>
    </xf>
    <xf numFmtId="164" fontId="92" fillId="10" borderId="52" xfId="0" applyFont="true" applyBorder="true" applyAlignment="true" applyProtection="true">
      <alignment horizontal="center" vertical="bottom" textRotation="0" wrapText="false" indent="0" shrinkToFit="false"/>
      <protection locked="true" hidden="true"/>
    </xf>
    <xf numFmtId="175" fontId="92" fillId="10" borderId="82" xfId="0" applyFont="true" applyBorder="true" applyAlignment="true" applyProtection="true">
      <alignment horizontal="center" vertical="bottom" textRotation="0" wrapText="false" indent="0" shrinkToFit="false"/>
      <protection locked="true" hidden="true"/>
    </xf>
    <xf numFmtId="175" fontId="20" fillId="10" borderId="82" xfId="0" applyFont="true" applyBorder="true" applyAlignment="true" applyProtection="true">
      <alignment horizontal="center" vertical="bottom" textRotation="0" wrapText="false" indent="0" shrinkToFit="false"/>
      <protection locked="true" hidden="true"/>
    </xf>
    <xf numFmtId="175" fontId="20" fillId="10" borderId="25" xfId="0" applyFont="true" applyBorder="true" applyAlignment="true" applyProtection="true">
      <alignment horizontal="center" vertical="bottom" textRotation="0" wrapText="false" indent="0" shrinkToFit="false"/>
      <protection locked="true" hidden="true"/>
    </xf>
    <xf numFmtId="175" fontId="20" fillId="10" borderId="24" xfId="0" applyFont="true" applyBorder="true" applyAlignment="true" applyProtection="true">
      <alignment horizontal="center" vertical="bottom" textRotation="0" wrapText="false" indent="0" shrinkToFit="false"/>
      <protection locked="true" hidden="true"/>
    </xf>
    <xf numFmtId="175" fontId="94" fillId="10" borderId="40" xfId="0" applyFont="true" applyBorder="true" applyAlignment="true" applyProtection="true">
      <alignment horizontal="center" vertical="bottom" textRotation="0" wrapText="false" indent="0" shrinkToFit="false"/>
      <protection locked="true" hidden="true"/>
    </xf>
    <xf numFmtId="164" fontId="20" fillId="10" borderId="43" xfId="0" applyFont="true" applyBorder="true" applyAlignment="true" applyProtection="true">
      <alignment horizontal="center" vertical="bottom" textRotation="0" wrapText="false" indent="0" shrinkToFit="false"/>
      <protection locked="true" hidden="true"/>
    </xf>
    <xf numFmtId="164" fontId="20" fillId="10" borderId="30" xfId="0" applyFont="true" applyBorder="true" applyAlignment="true" applyProtection="true">
      <alignment horizontal="center" vertical="bottom" textRotation="0" wrapText="false" indent="0" shrinkToFit="false"/>
      <protection locked="true" hidden="true"/>
    </xf>
    <xf numFmtId="164" fontId="29" fillId="12" borderId="24" xfId="0" applyFont="true" applyBorder="true" applyAlignment="false" applyProtection="true">
      <alignment horizontal="general" vertical="bottom" textRotation="0" wrapText="false" indent="0" shrinkToFit="false"/>
      <protection locked="true" hidden="true"/>
    </xf>
    <xf numFmtId="164" fontId="29" fillId="12" borderId="25" xfId="0" applyFont="true" applyBorder="true" applyAlignment="false" applyProtection="true">
      <alignment horizontal="general" vertical="bottom" textRotation="0" wrapText="false" indent="0" shrinkToFit="false"/>
      <protection locked="true" hidden="true"/>
    </xf>
    <xf numFmtId="164" fontId="29" fillId="12" borderId="0" xfId="0" applyFont="true" applyBorder="true" applyAlignment="true" applyProtection="true">
      <alignment horizontal="center" vertical="bottom" textRotation="0" wrapText="false" indent="0" shrinkToFit="false"/>
      <protection locked="true" hidden="true"/>
    </xf>
    <xf numFmtId="164" fontId="29" fillId="12" borderId="25" xfId="0" applyFont="true" applyBorder="true" applyAlignment="true" applyProtection="true">
      <alignment horizontal="center" vertical="bottom" textRotation="0" wrapText="false" indent="0" shrinkToFit="false"/>
      <protection locked="true" hidden="true"/>
    </xf>
    <xf numFmtId="164" fontId="29" fillId="12" borderId="83" xfId="0" applyFont="true" applyBorder="true" applyAlignment="true" applyProtection="true">
      <alignment horizontal="center" vertical="bottom" textRotation="0" wrapText="false" indent="0" shrinkToFit="false"/>
      <protection locked="true" hidden="true"/>
    </xf>
    <xf numFmtId="164" fontId="0" fillId="10" borderId="17" xfId="0" applyFont="true" applyBorder="true" applyAlignment="true" applyProtection="true">
      <alignment horizontal="center" vertical="bottom" textRotation="0" wrapText="false" indent="0" shrinkToFit="false"/>
      <protection locked="true" hidden="true"/>
    </xf>
    <xf numFmtId="164" fontId="20" fillId="10"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12" borderId="69" xfId="0" applyFont="true" applyBorder="true" applyAlignment="true" applyProtection="true">
      <alignment horizontal="general" vertical="bottom" textRotation="0" wrapText="false" indent="0" shrinkToFit="false"/>
      <protection locked="true" hidden="true"/>
    </xf>
    <xf numFmtId="174" fontId="20" fillId="10" borderId="85" xfId="0" applyFont="true" applyBorder="true" applyAlignment="true" applyProtection="true">
      <alignment horizontal="general" vertical="bottom" textRotation="0" wrapText="false" indent="0" shrinkToFit="false"/>
      <protection locked="true" hidden="true"/>
    </xf>
    <xf numFmtId="174" fontId="43" fillId="8" borderId="85" xfId="0" applyFont="true" applyBorder="true" applyAlignment="true" applyProtection="true">
      <alignment horizontal="general" vertical="bottom" textRotation="0" wrapText="false" indent="0" shrinkToFit="false"/>
      <protection locked="true" hidden="true"/>
    </xf>
    <xf numFmtId="165" fontId="33" fillId="12" borderId="86" xfId="0" applyFont="true" applyBorder="true" applyAlignment="true" applyProtection="true">
      <alignment horizontal="center" vertical="bottom" textRotation="0" wrapText="false" indent="0" shrinkToFit="false"/>
      <protection locked="true" hidden="true"/>
    </xf>
    <xf numFmtId="165" fontId="29" fillId="10" borderId="86" xfId="0" applyFont="true" applyBorder="true" applyAlignment="true" applyProtection="true">
      <alignment horizontal="center" vertical="bottom" textRotation="0" wrapText="false" indent="0" shrinkToFit="false"/>
      <protection locked="true" hidden="true"/>
    </xf>
    <xf numFmtId="165" fontId="29" fillId="10" borderId="74" xfId="0" applyFont="true" applyBorder="true" applyAlignment="true" applyProtection="true">
      <alignment horizontal="center" vertical="bottom" textRotation="0" wrapText="false" indent="0" shrinkToFit="false"/>
      <protection locked="true" hidden="true"/>
    </xf>
    <xf numFmtId="174" fontId="0" fillId="8" borderId="32" xfId="0" applyFont="false" applyBorder="true" applyAlignment="true" applyProtection="false">
      <alignment horizontal="general" vertical="bottom" textRotation="0" wrapText="false" indent="0" shrinkToFit="false"/>
      <protection locked="true" hidden="false"/>
    </xf>
    <xf numFmtId="164" fontId="20" fillId="8" borderId="86" xfId="0" applyFont="true" applyBorder="true" applyAlignment="true" applyProtection="true">
      <alignment horizontal="left" vertical="bottom" textRotation="0" wrapText="false" indent="0" shrinkToFit="false"/>
      <protection locked="true" hidden="true"/>
    </xf>
    <xf numFmtId="164" fontId="92" fillId="8" borderId="34" xfId="0" applyFont="true" applyBorder="true" applyAlignment="true" applyProtection="true">
      <alignment horizontal="right" vertical="bottom" textRotation="0" wrapText="false" indent="0" shrinkToFit="false"/>
      <protection locked="true" hidden="true"/>
    </xf>
    <xf numFmtId="174" fontId="92" fillId="8" borderId="34" xfId="0" applyFont="true" applyBorder="true" applyAlignment="true" applyProtection="true">
      <alignment horizontal="right" vertical="bottom" textRotation="0" wrapText="false" indent="0" shrinkToFit="false"/>
      <protection locked="true" hidden="true"/>
    </xf>
    <xf numFmtId="174" fontId="0" fillId="12" borderId="63" xfId="0" applyFont="false" applyBorder="tru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92" fillId="12" borderId="0" xfId="0" applyFont="true" applyBorder="fals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4" xfId="0" applyFont="true" applyBorder="true" applyAlignment="true" applyProtection="true">
      <alignment horizontal="general" vertical="bottom" textRotation="0" wrapText="false" indent="0" shrinkToFit="false"/>
      <protection locked="false" hidden="false"/>
    </xf>
    <xf numFmtId="172" fontId="20" fillId="5" borderId="33" xfId="0" applyFont="true" applyBorder="true" applyAlignment="true" applyProtection="true">
      <alignment horizontal="general" vertical="bottom" textRotation="0" wrapText="false" indent="0" shrinkToFit="false"/>
      <protection locked="false" hidden="false"/>
    </xf>
    <xf numFmtId="174" fontId="20" fillId="12" borderId="33" xfId="0" applyFont="true" applyBorder="true" applyAlignment="true" applyProtection="true">
      <alignment horizontal="general" vertical="bottom" textRotation="0" wrapText="false" indent="0" shrinkToFit="false"/>
      <protection locked="true" hidden="true"/>
    </xf>
    <xf numFmtId="174" fontId="20" fillId="10" borderId="73" xfId="0" applyFont="true" applyBorder="true" applyAlignment="true" applyProtection="true">
      <alignment horizontal="general" vertical="bottom" textRotation="0" wrapText="false" indent="0" shrinkToFit="false"/>
      <protection locked="true" hidden="true"/>
    </xf>
    <xf numFmtId="174" fontId="43" fillId="8" borderId="31" xfId="0" applyFont="true" applyBorder="true" applyAlignment="true" applyProtection="true">
      <alignment horizontal="general" vertical="bottom" textRotation="0" wrapText="false" indent="0" shrinkToFit="false"/>
      <protection locked="true" hidden="true"/>
    </xf>
    <xf numFmtId="165" fontId="29" fillId="10" borderId="32" xfId="0" applyFont="true" applyBorder="true" applyAlignment="true" applyProtection="true">
      <alignment horizontal="center" vertical="bottom" textRotation="0" wrapText="false" indent="0" shrinkToFit="false"/>
      <protection locked="true" hidden="true"/>
    </xf>
    <xf numFmtId="164" fontId="20" fillId="8" borderId="32" xfId="0" applyFont="true" applyBorder="true" applyAlignment="true" applyProtection="true">
      <alignment horizontal="left" vertical="bottom" textRotation="0" wrapText="false" indent="0" shrinkToFit="false"/>
      <protection locked="true" hidden="true"/>
    </xf>
    <xf numFmtId="174" fontId="0" fillId="12" borderId="21" xfId="0" applyFont="false" applyBorder="true" applyAlignment="false" applyProtection="true">
      <alignment horizontal="general" vertical="bottom" textRotation="0" wrapText="false" indent="0" shrinkToFit="false"/>
      <protection locked="true" hidden="true"/>
    </xf>
    <xf numFmtId="165" fontId="99" fillId="0" borderId="0" xfId="0" applyFont="true" applyBorder="false" applyAlignment="false" applyProtection="true">
      <alignment horizontal="general" vertical="bottom" textRotation="0" wrapText="false" indent="0" shrinkToFit="false"/>
      <protection locked="true" hidden="true"/>
    </xf>
    <xf numFmtId="174" fontId="20" fillId="10" borderId="31"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8" borderId="32" xfId="0" applyFont="false" applyBorder="true" applyAlignment="true" applyProtection="false">
      <alignment horizontal="general" vertical="bottom" textRotation="0" wrapText="false" indent="0" shrinkToFit="false"/>
      <protection locked="true" hidden="false"/>
    </xf>
    <xf numFmtId="164" fontId="92" fillId="8" borderId="34" xfId="0" applyFont="true" applyBorder="true" applyAlignment="true" applyProtection="false">
      <alignment horizontal="right" vertical="bottom" textRotation="0" wrapText="false" indent="0" shrinkToFit="false"/>
      <protection locked="true" hidden="false"/>
    </xf>
    <xf numFmtId="174" fontId="92" fillId="8" borderId="34"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2" fontId="20" fillId="5" borderId="37" xfId="0" applyFont="true" applyBorder="true" applyAlignment="true" applyProtection="true">
      <alignment horizontal="general" vertical="bottom" textRotation="0" wrapText="false" indent="0" shrinkToFit="false"/>
      <protection locked="false" hidden="false"/>
    </xf>
    <xf numFmtId="174" fontId="20" fillId="12" borderId="37" xfId="0" applyFont="true" applyBorder="true" applyAlignment="true" applyProtection="true">
      <alignment horizontal="general" vertical="bottom" textRotation="0" wrapText="false" indent="0" shrinkToFit="false"/>
      <protection locked="true" hidden="true"/>
    </xf>
    <xf numFmtId="174" fontId="20" fillId="10" borderId="35" xfId="0" applyFont="true" applyBorder="true" applyAlignment="true" applyProtection="true">
      <alignment horizontal="general" vertical="bottom" textRotation="0" wrapText="false" indent="0" shrinkToFit="false"/>
      <protection locked="true" hidden="true"/>
    </xf>
    <xf numFmtId="174" fontId="43" fillId="8" borderId="35" xfId="0" applyFont="true" applyBorder="true" applyAlignment="true" applyProtection="true">
      <alignment horizontal="general" vertical="bottom" textRotation="0" wrapText="false" indent="0" shrinkToFit="false"/>
      <protection locked="true" hidden="true"/>
    </xf>
    <xf numFmtId="165" fontId="29" fillId="10" borderId="36" xfId="0" applyFont="true" applyBorder="true" applyAlignment="true" applyProtection="true">
      <alignment horizontal="center" vertical="bottom" textRotation="0" wrapText="false" indent="0" shrinkToFit="false"/>
      <protection locked="true" hidden="true"/>
    </xf>
    <xf numFmtId="164" fontId="0" fillId="8" borderId="36" xfId="0" applyFont="false" applyBorder="true" applyAlignment="true" applyProtection="false">
      <alignment horizontal="general" vertical="bottom" textRotation="0" wrapText="false" indent="0" shrinkToFit="false"/>
      <protection locked="true" hidden="false"/>
    </xf>
    <xf numFmtId="164" fontId="92" fillId="8" borderId="38" xfId="0" applyFont="true" applyBorder="true" applyAlignment="true" applyProtection="false">
      <alignment horizontal="right" vertical="bottom" textRotation="0" wrapText="false" indent="0" shrinkToFit="false"/>
      <protection locked="true" hidden="false"/>
    </xf>
    <xf numFmtId="174" fontId="92" fillId="8" borderId="38" xfId="0" applyFont="true" applyBorder="true" applyAlignment="true" applyProtection="false">
      <alignment horizontal="right" vertical="bottom" textRotation="0" wrapText="false" indent="0" shrinkToFit="false"/>
      <protection locked="true" hidden="false"/>
    </xf>
    <xf numFmtId="164" fontId="9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12" borderId="63" xfId="0" applyFont="true" applyBorder="true" applyAlignment="false" applyProtection="true">
      <alignment horizontal="general" vertical="bottom" textRotation="0" wrapText="false" indent="0" shrinkToFit="false"/>
      <protection locked="true" hidden="true"/>
    </xf>
    <xf numFmtId="164" fontId="0" fillId="12" borderId="25"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2" borderId="27" xfId="0" applyFont="false" applyBorder="true" applyAlignment="false" applyProtection="true">
      <alignment horizontal="general" vertical="bottom" textRotation="0" wrapText="false" indent="0" shrinkToFit="false"/>
      <protection locked="true" hidden="true"/>
    </xf>
    <xf numFmtId="174" fontId="0" fillId="12" borderId="28" xfId="0" applyFont="false" applyBorder="true" applyAlignment="false" applyProtection="true">
      <alignment horizontal="general" vertical="bottom" textRotation="0" wrapText="false" indent="0" shrinkToFit="false"/>
      <protection locked="true" hidden="true"/>
    </xf>
    <xf numFmtId="173" fontId="0" fillId="12" borderId="28" xfId="0" applyFont="false" applyBorder="true" applyAlignment="false" applyProtection="true">
      <alignment horizontal="general" vertical="bottom" textRotation="0" wrapText="false" indent="0" shrinkToFit="false"/>
      <protection locked="true" hidden="true"/>
    </xf>
    <xf numFmtId="172" fontId="0" fillId="12" borderId="28" xfId="0" applyFont="false" applyBorder="true" applyAlignment="false" applyProtection="true">
      <alignment horizontal="general" vertical="bottom" textRotation="0" wrapText="false" indent="0" shrinkToFit="false"/>
      <protection locked="true" hidden="true"/>
    </xf>
    <xf numFmtId="165" fontId="0" fillId="12" borderId="28" xfId="0" applyFont="false" applyBorder="true" applyAlignment="false" applyProtection="true">
      <alignment horizontal="general" vertical="bottom" textRotation="0" wrapText="false" indent="0" shrinkToFit="false"/>
      <protection locked="true" hidden="true"/>
    </xf>
    <xf numFmtId="172" fontId="0" fillId="12" borderId="0" xfId="0" applyFont="false" applyBorder="false" applyAlignment="false" applyProtection="true">
      <alignment horizontal="general" vertical="bottom" textRotation="0" wrapText="false" indent="0" shrinkToFit="false"/>
      <protection locked="true" hidden="true"/>
    </xf>
    <xf numFmtId="175" fontId="0" fillId="12" borderId="28" xfId="0" applyFont="false" applyBorder="true" applyAlignment="false" applyProtection="true">
      <alignment horizontal="general" vertical="bottom" textRotation="0" wrapText="false" indent="0" shrinkToFit="false"/>
      <protection locked="true" hidden="true"/>
    </xf>
    <xf numFmtId="165" fontId="0" fillId="12" borderId="30" xfId="0" applyFont="false" applyBorder="true" applyAlignment="false" applyProtection="true">
      <alignment horizontal="general" vertical="bottom" textRotation="0" wrapText="false" indent="0" shrinkToFit="false"/>
      <protection locked="true" hidden="true"/>
    </xf>
    <xf numFmtId="165" fontId="0" fillId="12"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12" borderId="0" xfId="0" applyFont="true" applyBorder="false" applyAlignment="false" applyProtection="true">
      <alignment horizontal="general" vertical="bottom" textRotation="0" wrapText="false" indent="0" shrinkToFit="false"/>
      <protection locked="true" hidden="true"/>
    </xf>
    <xf numFmtId="172" fontId="26" fillId="12" borderId="28" xfId="0" applyFont="true" applyBorder="true" applyAlignment="false" applyProtection="true">
      <alignment horizontal="general" vertical="bottom" textRotation="0" wrapText="false" indent="0" shrinkToFit="false"/>
      <protection locked="true" hidden="true"/>
    </xf>
    <xf numFmtId="172" fontId="27" fillId="15" borderId="56" xfId="0" applyFont="true" applyBorder="true" applyAlignment="true" applyProtection="true">
      <alignment horizontal="left" vertical="top" textRotation="0" wrapText="false" indent="0" shrinkToFit="false"/>
      <protection locked="true" hidden="true"/>
    </xf>
    <xf numFmtId="172" fontId="27" fillId="15" borderId="57" xfId="0" applyFont="true" applyBorder="true" applyAlignment="true" applyProtection="true">
      <alignment horizontal="left" vertical="top" textRotation="0" wrapText="false" indent="0" shrinkToFit="false"/>
      <protection locked="true" hidden="true"/>
    </xf>
    <xf numFmtId="172" fontId="59" fillId="15" borderId="49" xfId="0" applyFont="true" applyBorder="true" applyAlignment="true" applyProtection="true">
      <alignment horizontal="left" vertical="top" textRotation="0" wrapText="false" indent="0" shrinkToFit="false"/>
      <protection locked="true" hidden="true"/>
    </xf>
    <xf numFmtId="172" fontId="20" fillId="15" borderId="49" xfId="0" applyFont="true" applyBorder="true" applyAlignment="true" applyProtection="true">
      <alignment horizontal="center" vertical="top" textRotation="0" wrapText="false" indent="0" shrinkToFit="false"/>
      <protection locked="true" hidden="true"/>
    </xf>
    <xf numFmtId="164" fontId="100" fillId="15" borderId="60" xfId="0" applyFont="true" applyBorder="true" applyAlignment="true" applyProtection="true">
      <alignment horizontal="left" vertical="bottom" textRotation="0" wrapText="false" indent="0" shrinkToFit="false"/>
      <protection locked="true" hidden="true"/>
    </xf>
    <xf numFmtId="164" fontId="26" fillId="15" borderId="61" xfId="0" applyFont="true" applyBorder="true" applyAlignment="true" applyProtection="true">
      <alignment horizontal="right" vertical="top" textRotation="0" wrapText="false" indent="0" shrinkToFit="false"/>
      <protection locked="true" hidden="true"/>
    </xf>
    <xf numFmtId="164" fontId="101" fillId="15" borderId="62" xfId="0" applyFont="true" applyBorder="true" applyAlignment="true" applyProtection="true">
      <alignment horizontal="center" vertical="top" textRotation="0" wrapText="false" indent="0" shrinkToFit="false"/>
      <protection locked="true" hidden="true"/>
    </xf>
    <xf numFmtId="164" fontId="100" fillId="13" borderId="60" xfId="0" applyFont="true" applyBorder="true" applyAlignment="true" applyProtection="true">
      <alignment horizontal="left" vertical="bottom" textRotation="0" wrapText="false" indent="0" shrinkToFit="false"/>
      <protection locked="true" hidden="tru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6" fillId="2" borderId="0" xfId="0" applyFont="true" applyBorder="false" applyAlignment="true" applyProtection="true">
      <alignment horizontal="right" vertical="bottom" textRotation="0" wrapText="false" indent="0" shrinkToFit="false"/>
      <protection locked="false" hidden="false"/>
    </xf>
    <xf numFmtId="164" fontId="30" fillId="10" borderId="20" xfId="0" applyFont="true" applyBorder="true" applyAlignment="true" applyProtection="false">
      <alignment horizontal="center" vertical="bottom" textRotation="0" wrapText="false" indent="0" shrinkToFit="false"/>
      <protection locked="true" hidden="false"/>
    </xf>
    <xf numFmtId="164" fontId="107" fillId="10"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10" borderId="22"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10" borderId="16" xfId="0" applyFont="true" applyBorder="true" applyAlignment="true" applyProtection="false">
      <alignment horizontal="center" vertical="bottom" textRotation="0" wrapText="false" indent="0" shrinkToFit="false"/>
      <protection locked="true" hidden="false"/>
    </xf>
    <xf numFmtId="164" fontId="25" fillId="10"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10" borderId="88" xfId="0" applyFont="true" applyBorder="true" applyAlignment="true" applyProtection="false">
      <alignment horizontal="left" vertical="bottom" textRotation="0" wrapText="false" indent="0" shrinkToFit="false"/>
      <protection locked="true" hidden="false"/>
    </xf>
    <xf numFmtId="164" fontId="25" fillId="10" borderId="88" xfId="0" applyFont="true" applyBorder="true" applyAlignment="true" applyProtection="false">
      <alignment horizontal="center" vertical="bottom" textRotation="0" wrapText="false" indent="0" shrinkToFit="false"/>
      <protection locked="true" hidden="false"/>
    </xf>
    <xf numFmtId="164" fontId="30" fillId="10" borderId="20" xfId="0" applyFont="true" applyBorder="true" applyAlignment="true" applyProtection="false">
      <alignment horizontal="left" vertical="bottom" textRotation="0" wrapText="false" indent="0" shrinkToFit="false"/>
      <protection locked="true" hidden="false"/>
    </xf>
    <xf numFmtId="164" fontId="39" fillId="10" borderId="20" xfId="0" applyFont="true" applyBorder="true" applyAlignment="true" applyProtection="false">
      <alignment horizontal="general" vertical="bottom" textRotation="0" wrapText="false" indent="0" shrinkToFit="false"/>
      <protection locked="true" hidden="false"/>
    </xf>
    <xf numFmtId="164" fontId="94" fillId="10" borderId="20" xfId="0" applyFont="true" applyBorder="true" applyAlignment="true" applyProtection="false">
      <alignment horizontal="left" vertical="bottom" textRotation="0" wrapText="false" indent="0" shrinkToFit="false"/>
      <protection locked="true" hidden="false"/>
    </xf>
    <xf numFmtId="164" fontId="40" fillId="0" borderId="9"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0" fillId="7" borderId="24" xfId="0" applyFont="true" applyBorder="true" applyAlignment="false" applyProtection="false">
      <alignment horizontal="general" vertical="bottom" textRotation="0" wrapText="false" indent="0" shrinkToFit="false"/>
      <protection locked="true" hidden="false"/>
    </xf>
    <xf numFmtId="164" fontId="0" fillId="7" borderId="83" xfId="0" applyFont="false" applyBorder="true" applyAlignment="false" applyProtection="false">
      <alignment horizontal="general"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0" fillId="10" borderId="25" xfId="0" applyFont="false" applyBorder="true" applyAlignment="false" applyProtection="false">
      <alignment horizontal="general" vertical="bottom" textRotation="0" wrapText="false" indent="0" shrinkToFit="false"/>
      <protection locked="true" hidden="false"/>
    </xf>
    <xf numFmtId="164" fontId="0" fillId="10" borderId="83" xfId="0" applyFont="false" applyBorder="true" applyAlignment="false" applyProtection="false">
      <alignment horizontal="general" vertical="bottom" textRotation="0" wrapText="false" indent="0" shrinkToFit="false"/>
      <protection locked="true" hidden="false"/>
    </xf>
    <xf numFmtId="164" fontId="0" fillId="10" borderId="63" xfId="0" applyFont="true" applyBorder="true" applyAlignment="false" applyProtection="false">
      <alignment horizontal="general" vertical="bottom" textRotation="0" wrapText="false" indent="0" shrinkToFit="false"/>
      <protection locked="true" hidden="false"/>
    </xf>
    <xf numFmtId="164" fontId="0" fillId="10" borderId="0"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fals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0" fillId="7" borderId="17" xfId="0" applyFont="true" applyBorder="true" applyAlignment="false" applyProtection="false">
      <alignment horizontal="general" vertical="bottom" textRotation="0" wrapText="false" indent="0" shrinkToFit="false"/>
      <protection locked="true" hidden="false"/>
    </xf>
    <xf numFmtId="164" fontId="0" fillId="10" borderId="26" xfId="0" applyFont="true" applyBorder="true" applyAlignment="false" applyProtection="false">
      <alignment horizontal="general" vertical="bottom" textRotation="0" wrapText="false" indent="0" shrinkToFit="false"/>
      <protection locked="true" hidden="false"/>
    </xf>
    <xf numFmtId="164" fontId="0" fillId="10" borderId="29" xfId="0" applyFont="false" applyBorder="true" applyAlignment="false" applyProtection="false">
      <alignment horizontal="general" vertical="bottom" textRotation="0" wrapText="false" indent="0" shrinkToFit="false"/>
      <protection locked="true" hidden="false"/>
    </xf>
    <xf numFmtId="164" fontId="39" fillId="10" borderId="20" xfId="0" applyFont="true" applyBorder="true" applyAlignment="true" applyProtection="false">
      <alignment horizontal="left" vertical="bottom" textRotation="0" wrapText="false" indent="0" shrinkToFit="false"/>
      <protection locked="true" hidden="false"/>
    </xf>
    <xf numFmtId="164" fontId="0" fillId="10" borderId="89" xfId="0" applyFont="true" applyBorder="true" applyAlignment="false" applyProtection="false">
      <alignment horizontal="general" vertical="bottom" textRotation="0" wrapText="false" indent="0" shrinkToFit="false"/>
      <protection locked="true" hidden="false"/>
    </xf>
    <xf numFmtId="164" fontId="57" fillId="10" borderId="20" xfId="0" applyFont="true" applyBorder="true" applyAlignment="true" applyProtection="false">
      <alignment horizontal="left" vertical="bottom" textRotation="0" wrapText="false" indent="0" shrinkToFit="false"/>
      <protection locked="true" hidden="false"/>
    </xf>
    <xf numFmtId="164" fontId="57" fillId="10" borderId="20" xfId="0" applyFont="true" applyBorder="true" applyAlignment="true" applyProtection="false">
      <alignment horizontal="general" vertical="bottom" textRotation="0" wrapText="false" indent="0" shrinkToFit="false"/>
      <protection locked="true" hidden="false"/>
    </xf>
    <xf numFmtId="164" fontId="30" fillId="10" borderId="0" xfId="0" applyFont="true" applyBorder="false" applyAlignment="true" applyProtection="false">
      <alignment horizontal="left" vertical="bottom" textRotation="0" wrapText="false" indent="0" shrinkToFit="false"/>
      <protection locked="true" hidden="false"/>
    </xf>
    <xf numFmtId="164" fontId="30" fillId="10" borderId="20" xfId="0" applyFont="true" applyBorder="true" applyAlignment="true" applyProtection="false">
      <alignment horizontal="left" vertical="top" textRotation="0" wrapText="false" indent="0" shrinkToFit="false"/>
      <protection locked="true" hidden="false"/>
    </xf>
    <xf numFmtId="167" fontId="30" fillId="10" borderId="20" xfId="0" applyFont="true" applyBorder="true" applyAlignment="true" applyProtection="false">
      <alignment horizontal="left" vertical="bottom" textRotation="0" wrapText="false" indent="0" shrinkToFit="false"/>
      <protection locked="true" hidden="false"/>
    </xf>
    <xf numFmtId="164" fontId="94" fillId="10" borderId="22" xfId="0" applyFont="true" applyBorder="true" applyAlignment="true" applyProtection="false">
      <alignment horizontal="left" vertical="bottom" textRotation="0" wrapText="false" indent="0" shrinkToFit="false"/>
      <protection locked="true" hidden="false"/>
    </xf>
    <xf numFmtId="164" fontId="39" fillId="10" borderId="22"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26</xdr:col>
      <xdr:colOff>10080</xdr:colOff>
      <xdr:row>2</xdr:row>
      <xdr:rowOff>109440</xdr:rowOff>
    </xdr:to>
    <xdr:grpSp>
      <xdr:nvGrpSpPr>
        <xdr:cNvPr id="10" name="Group 32"/>
        <xdr:cNvGrpSpPr/>
      </xdr:nvGrpSpPr>
      <xdr:grpSpPr>
        <a:xfrm>
          <a:off x="8921880" y="38160"/>
          <a:ext cx="1771560" cy="433080"/>
          <a:chOff x="8921880" y="38160"/>
          <a:chExt cx="177156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41039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10.4444444444444</v>
      </c>
      <c r="M5" s="543"/>
      <c r="N5" s="544"/>
      <c r="O5" s="545" t="n">
        <v>10.1951219512195</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35</v>
      </c>
      <c r="C7" s="342" t="n">
        <v>65</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7.5</v>
      </c>
      <c r="O8" s="358" t="n">
        <f aca="false">AVERAGE(J23:J82)</f>
        <v>1.13333333333333</v>
      </c>
      <c r="P8" s="359"/>
      <c r="Q8" s="284"/>
      <c r="R8" s="284"/>
      <c r="S8" s="284"/>
      <c r="T8" s="284"/>
      <c r="U8" s="284"/>
      <c r="V8" s="284"/>
      <c r="W8" s="296"/>
      <c r="X8" s="297"/>
    </row>
    <row r="9" customFormat="false" ht="13.5" hidden="false" customHeight="false" outlineLevel="0" collapsed="false">
      <c r="A9" s="317" t="s">
        <v>2649</v>
      </c>
      <c r="B9" s="360" t="n">
        <v>3.775</v>
      </c>
      <c r="C9" s="361" t="n">
        <v>4.875</v>
      </c>
      <c r="D9" s="362"/>
      <c r="E9" s="362"/>
      <c r="F9" s="363" t="n">
        <f aca="false">($B9*$B$7+$C9*$C$7)/100</f>
        <v>4.49</v>
      </c>
      <c r="G9" s="364"/>
      <c r="H9" s="365"/>
      <c r="I9" s="366"/>
      <c r="J9" s="367"/>
      <c r="K9" s="348"/>
      <c r="L9" s="368"/>
      <c r="M9" s="357" t="s">
        <v>2650</v>
      </c>
      <c r="N9" s="358" t="n">
        <f aca="false">STDEV(I23:I82)</f>
        <v>5.63088772323904</v>
      </c>
      <c r="O9" s="358" t="n">
        <f aca="false">STDEV(J23:J82)</f>
        <v>0.899552890217607</v>
      </c>
      <c r="P9" s="359"/>
      <c r="Q9" s="284"/>
      <c r="R9" s="284"/>
      <c r="S9" s="284"/>
      <c r="T9" s="284"/>
      <c r="U9" s="284"/>
      <c r="V9" s="284"/>
      <c r="W9" s="369"/>
      <c r="X9" s="370"/>
    </row>
    <row r="10" customFormat="false" ht="13.5" hidden="false" customHeight="false" outlineLevel="0" collapsed="false">
      <c r="A10" s="371" t="s">
        <v>2718</v>
      </c>
      <c r="B10" s="372" t="s">
        <v>2719</v>
      </c>
      <c r="C10" s="372" t="s">
        <v>2720</v>
      </c>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18</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10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7</v>
      </c>
      <c r="L13" s="390"/>
      <c r="M13" s="401" t="s">
        <v>2661</v>
      </c>
      <c r="N13" s="402" t="n">
        <f aca="false">COUNTIF(F23:F82,"&gt;0")</f>
        <v>30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30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12</v>
      </c>
      <c r="L15" s="390"/>
      <c r="M15" s="411" t="s">
        <v>2667</v>
      </c>
      <c r="N15" s="412" t="n">
        <f aca="false">COUNTIF(J23:J82,"=1")</f>
        <v>9</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11</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3.775</v>
      </c>
      <c r="C20" s="440" t="n">
        <f aca="false">SUM(C23:C82)</f>
        <v>4.875</v>
      </c>
      <c r="D20" s="441"/>
      <c r="E20" s="442" t="s">
        <v>2673</v>
      </c>
      <c r="F20" s="443" t="n">
        <f aca="false">($B20*$B$7+$C20*$C$7)/100</f>
        <v>4.49</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1.32125</v>
      </c>
      <c r="C21" s="453" t="n">
        <f aca="false">C20*C7/100</f>
        <v>3.16875</v>
      </c>
      <c r="D21" s="385" t="str">
        <f aca="false">IF(F21=0,"",IF((ABS(F21-F19))&gt;(0.2*F21),CONCATENATE(" rec. par taxa (",F21," %) supérieur à 20 % !"),""))</f>
        <v> rec. par taxa (4,49 %) supérieur à 20 % !</v>
      </c>
      <c r="E21" s="454" t="str">
        <f aca="false">IF(F21=0,"",IF((ABS(F21-F19))&gt;(0.2*F21),CONCATENATE("ATTENTION : écart entre rec. par grp (",F19," %) ","et",""),""))</f>
        <v>ATTENTION : écart entre rec. par grp (0 %) et</v>
      </c>
      <c r="F21" s="455" t="n">
        <f aca="false">B21+C21</f>
        <v>4.49</v>
      </c>
      <c r="G21" s="456"/>
      <c r="H21" s="385"/>
      <c r="I21" s="457"/>
      <c r="J21" s="457"/>
      <c r="K21" s="458"/>
      <c r="L21" s="458"/>
      <c r="M21" s="459"/>
      <c r="N21" s="459"/>
      <c r="O21" s="460"/>
      <c r="P21" s="461"/>
      <c r="Q21" s="462" t="s">
        <v>2678</v>
      </c>
      <c r="R21" s="284"/>
      <c r="S21" s="284"/>
      <c r="T21" s="284"/>
      <c r="U21" s="284"/>
      <c r="V21" s="284" t="s">
        <v>2721</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70</v>
      </c>
      <c r="B23" s="499" t="n">
        <v>0.005</v>
      </c>
      <c r="C23" s="500"/>
      <c r="D23" s="501" t="str">
        <f aca="false">IF(ISERROR(VLOOKUP($A23,'liste reference'!$A$7:$D$904,2,0)),IF(ISERROR(VLOOKUP($A23,'liste reference'!$B$7:$D$904,1,0)),"",VLOOKUP($A23,'liste reference'!$B$7:$D$904,1,0)),VLOOKUP($A23,'liste reference'!$A$7:$D$904,2,0))</f>
        <v>Batrachospermum sp.</v>
      </c>
      <c r="E23" s="501" t="e">
        <f aca="false">IF(D23="",0,VLOOKUP(D23,D$22:D22,1,0))</f>
        <v>#N/A</v>
      </c>
      <c r="F23" s="508" t="n">
        <f aca="false">($B23*$B$7+$C23*$C$7)/100</f>
        <v>0.00175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16</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1155</v>
      </c>
      <c r="Q23" s="491" t="n">
        <f aca="false">IF(ISTEXT(H23),"",(B23*$B$7/100)+(C23*$C$7/100))</f>
        <v>0.00175</v>
      </c>
      <c r="R23" s="492" t="n">
        <f aca="false">IF(OR(ISTEXT(H23),Q23=0),"",IF(Q23&lt;0.1,1,IF(Q23&lt;1,2,IF(Q23&lt;10,3,IF(Q23&lt;50,4,IF(Q23&gt;=50,5,""))))))</f>
        <v>1</v>
      </c>
      <c r="S23" s="492" t="n">
        <f aca="false">IF(ISERROR(R23*I23),0,R23*I23)</f>
        <v>16</v>
      </c>
      <c r="T23" s="492" t="n">
        <f aca="false">IF(ISERROR(R23*I23*J23),0,R23*I23*J23)</f>
        <v>32</v>
      </c>
      <c r="U23" s="492" t="n">
        <f aca="false">IF(ISERROR(R23*J23),0,R23*J23)</f>
        <v>2</v>
      </c>
      <c r="V23" s="493" t="n">
        <v>2</v>
      </c>
      <c r="W23" s="494"/>
      <c r="Y23" s="495" t="str">
        <f aca="false">IF(A23="new.cod","NEWCOD",IF(AND((Z23=""),ISTEXT(A23)),A23,IF(Z23="","",INDEX('liste reference'!$A$7:$A$904,Z23))))</f>
        <v>BATSPX</v>
      </c>
      <c r="Z23" s="284" t="n">
        <f aca="false">IF(ISERROR(MATCH(A23,'liste reference'!$A$7:$A$904,0)),IF(ISERROR(MATCH(A23,'liste reference'!$B$7:$B$904,0)),"",(MATCH(A23,'liste reference'!$B$7:$B$904,0))),(MATCH(A23,'liste reference'!$A$7:$A$904,0)))</f>
        <v>8</v>
      </c>
      <c r="AA23" s="496"/>
      <c r="AB23" s="497"/>
      <c r="AC23" s="497"/>
      <c r="BC23" s="284" t="n">
        <f aca="false">IF(A23="","",1)</f>
        <v>1</v>
      </c>
    </row>
    <row r="24" customFormat="false" ht="12.75" hidden="false" customHeight="false" outlineLevel="0" collapsed="false">
      <c r="A24" s="498" t="s">
        <v>78</v>
      </c>
      <c r="B24" s="499" t="n">
        <v>0.005</v>
      </c>
      <c r="C24" s="500"/>
      <c r="D24" s="501" t="str">
        <f aca="false">IF(ISERROR(VLOOKUP($A24,'liste reference'!$A$7:$D$904,2,0)),IF(ISERROR(VLOOKUP($A24,'liste reference'!$B$7:$D$904,1,0)),"",VLOOKUP($A24,'liste reference'!$B$7:$D$904,1,0)),VLOOKUP($A24,'liste reference'!$A$7:$D$904,2,0))</f>
        <v>Chaetophora sp.</v>
      </c>
      <c r="E24" s="501" t="e">
        <f aca="false">IF(D24="",0,VLOOKUP(D24,D$22:D23,1,0))</f>
        <v>#N/A</v>
      </c>
      <c r="F24" s="508" t="n">
        <f aca="false">($B24*$B$7+$C24*$C$7)/100</f>
        <v>0.00175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1117</v>
      </c>
      <c r="Q24" s="491" t="n">
        <f aca="false">IF(ISTEXT(H24),"",(B24*$B$7/100)+(C24*$C$7/100))</f>
        <v>0.00175</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Y24" s="495" t="str">
        <f aca="false">IF(A24="new.cod","NEWCOD",IF(AND((Z24=""),ISTEXT(A24)),A24,IF(Z24="","",INDEX('liste reference'!$A$7:$A$904,Z24))))</f>
        <v>CHESPX</v>
      </c>
      <c r="Z24" s="284" t="n">
        <f aca="false">IF(ISERROR(MATCH(A24,'liste reference'!$A$7:$A$904,0)),IF(ISERROR(MATCH(A24,'liste reference'!$B$7:$B$904,0)),"",(MATCH(A24,'liste reference'!$B$7:$B$904,0))),(MATCH(A24,'liste reference'!$A$7:$A$904,0)))</f>
        <v>10</v>
      </c>
      <c r="AA24" s="496"/>
      <c r="AB24" s="497"/>
      <c r="AC24" s="497"/>
      <c r="BC24" s="284" t="n">
        <f aca="false">IF(A24="","",1)</f>
        <v>1</v>
      </c>
    </row>
    <row r="25" customFormat="false" ht="12.75" hidden="false" customHeight="false" outlineLevel="0" collapsed="false">
      <c r="A25" s="498" t="s">
        <v>111</v>
      </c>
      <c r="B25" s="499"/>
      <c r="C25" s="500" t="n">
        <v>0.005</v>
      </c>
      <c r="D25" s="501" t="str">
        <f aca="false">IF(ISERROR(VLOOKUP($A25,'liste reference'!$A$7:$D$904,2,0)),IF(ISERROR(VLOOKUP($A25,'liste reference'!$B$7:$D$904,1,0)),"",VLOOKUP($A25,'liste reference'!$B$7:$D$904,1,0)),VLOOKUP($A25,'liste reference'!$A$7:$D$904,2,0))</f>
        <v>Chara vulgaris</v>
      </c>
      <c r="E25" s="501" t="e">
        <f aca="false">IF(D25="",0,VLOOKUP(D25,D$22:D24,1,0))</f>
        <v>#N/A</v>
      </c>
      <c r="F25" s="508" t="n">
        <f aca="false">($B25*$B$7+$C25*$C$7)/100</f>
        <v>0.00325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13</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5261</v>
      </c>
      <c r="Q25" s="491" t="n">
        <f aca="false">IF(ISTEXT(H25),"",(B25*$B$7/100)+(C25*$C$7/100))</f>
        <v>0.00325</v>
      </c>
      <c r="R25" s="492" t="n">
        <f aca="false">IF(OR(ISTEXT(H25),Q25=0),"",IF(Q25&lt;0.1,1,IF(Q25&lt;1,2,IF(Q25&lt;10,3,IF(Q25&lt;50,4,IF(Q25&gt;=50,5,""))))))</f>
        <v>1</v>
      </c>
      <c r="S25" s="492" t="n">
        <f aca="false">IF(ISERROR(R25*I25),0,R25*I25)</f>
        <v>13</v>
      </c>
      <c r="T25" s="492" t="n">
        <f aca="false">IF(ISERROR(R25*I25*J25),0,R25*I25*J25)</f>
        <v>13</v>
      </c>
      <c r="U25" s="506" t="n">
        <f aca="false">IF(ISERROR(R25*J25),0,R25*J25)</f>
        <v>1</v>
      </c>
      <c r="V25" s="493" t="n">
        <v>1</v>
      </c>
      <c r="W25" s="494"/>
      <c r="Y25" s="495" t="str">
        <f aca="false">IF(A25="new.cod","NEWCOD",IF(AND((Z25=""),ISTEXT(A25)),A25,IF(Z25="","",INDEX('liste reference'!$A$7:$A$904,Z25))))</f>
        <v>CHAVUL</v>
      </c>
      <c r="Z25" s="284" t="n">
        <f aca="false">IF(ISERROR(MATCH(A25,'liste reference'!$A$7:$A$904,0)),IF(ISERROR(MATCH(A25,'liste reference'!$B$7:$B$904,0)),"",(MATCH(A25,'liste reference'!$B$7:$B$904,0))),(MATCH(A25,'liste reference'!$A$7:$A$904,0)))</f>
        <v>20</v>
      </c>
      <c r="AA25" s="496"/>
      <c r="AB25" s="497"/>
      <c r="AC25" s="497"/>
      <c r="BC25" s="284" t="n">
        <f aca="false">IF(A25="","",1)</f>
        <v>1</v>
      </c>
    </row>
    <row r="26" customFormat="false" ht="12.75" hidden="false" customHeight="false" outlineLevel="0" collapsed="false">
      <c r="A26" s="498" t="s">
        <v>123</v>
      </c>
      <c r="B26" s="499" t="n">
        <v>0.5</v>
      </c>
      <c r="C26" s="500" t="n">
        <v>4</v>
      </c>
      <c r="D26" s="501" t="str">
        <f aca="false">IF(ISERROR(VLOOKUP($A26,'liste reference'!$A$7:$D$904,2,0)),IF(ISERROR(VLOOKUP($A26,'liste reference'!$B$7:$D$904,1,0)),"",VLOOKUP($A26,'liste reference'!$B$7:$D$904,1,0)),VLOOKUP($A26,'liste reference'!$A$7:$D$904,2,0))</f>
        <v>Cladophora sp.</v>
      </c>
      <c r="E26" s="501" t="e">
        <f aca="false">IF(D26="",0,VLOOKUP(D26,D$22:D25,1,0))</f>
        <v>#N/A</v>
      </c>
      <c r="F26" s="508" t="n">
        <f aca="false">($B26*$B$7+$C26*$C$7)/100</f>
        <v>2.775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6</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1124</v>
      </c>
      <c r="Q26" s="491" t="n">
        <f aca="false">IF(ISTEXT(H26),"",(B26*$B$7/100)+(C26*$C$7/100))</f>
        <v>2.775</v>
      </c>
      <c r="R26" s="492" t="n">
        <f aca="false">IF(OR(ISTEXT(H26),Q26=0),"",IF(Q26&lt;0.1,1,IF(Q26&lt;1,2,IF(Q26&lt;10,3,IF(Q26&lt;50,4,IF(Q26&gt;=50,5,""))))))</f>
        <v>3</v>
      </c>
      <c r="S26" s="492" t="n">
        <f aca="false">IF(ISERROR(R26*I26),0,R26*I26)</f>
        <v>18</v>
      </c>
      <c r="T26" s="492" t="n">
        <f aca="false">IF(ISERROR(R26*I26*J26),0,R26*I26*J26)</f>
        <v>18</v>
      </c>
      <c r="U26" s="506" t="n">
        <f aca="false">IF(ISERROR(R26*J26),0,R26*J26)</f>
        <v>3</v>
      </c>
      <c r="V26" s="493" t="n">
        <v>3</v>
      </c>
      <c r="W26" s="494"/>
      <c r="Y26" s="495" t="str">
        <f aca="false">IF(A26="new.cod","NEWCOD",IF(AND((Z26=""),ISTEXT(A26)),A26,IF(Z26="","",INDEX('liste reference'!$A$7:$A$904,Z26))))</f>
        <v>CLASPX</v>
      </c>
      <c r="Z26" s="284" t="n">
        <f aca="false">IF(ISERROR(MATCH(A26,'liste reference'!$A$7:$A$904,0)),IF(ISERROR(MATCH(A26,'liste reference'!$B$7:$B$904,0)),"",(MATCH(A26,'liste reference'!$B$7:$B$904,0))),(MATCH(A26,'liste reference'!$A$7:$A$904,0)))</f>
        <v>24</v>
      </c>
      <c r="AA26" s="496"/>
      <c r="AB26" s="497"/>
      <c r="AC26" s="497"/>
      <c r="BC26" s="284" t="n">
        <f aca="false">IF(A26="","",1)</f>
        <v>1</v>
      </c>
    </row>
    <row r="27" customFormat="false" ht="12.75" hidden="false" customHeight="false" outlineLevel="0" collapsed="false">
      <c r="A27" s="498" t="s">
        <v>133</v>
      </c>
      <c r="B27" s="499" t="n">
        <v>0.005</v>
      </c>
      <c r="C27" s="500"/>
      <c r="D27" s="501" t="str">
        <f aca="false">IF(ISERROR(VLOOKUP($A27,'liste reference'!$A$7:$D$904,2,0)),IF(ISERROR(VLOOKUP($A27,'liste reference'!$B$7:$D$904,1,0)),"",VLOOKUP($A27,'liste reference'!$B$7:$D$904,1,0)),VLOOKUP($A27,'liste reference'!$A$7:$D$904,2,0))</f>
        <v>Draparnaldia sp.</v>
      </c>
      <c r="E27" s="501" t="e">
        <f aca="false">IF(D27="",0,VLOOKUP(D27,D$22:D26,1,0))</f>
        <v>#N/A</v>
      </c>
      <c r="F27" s="508" t="n">
        <f aca="false">($B27*$B$7+$C27*$C$7)/100</f>
        <v>0.00175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18</v>
      </c>
      <c r="J27" s="486" t="n">
        <f aca="false">IF(ISNUMBER(H27),IF(ISERROR(VLOOKUP($A27,'liste reference'!$A$7:$P$904,4,0)),IF(ISERROR(VLOOKUP($A27,'liste reference'!$B$7:$P$904,3,0)),"",VLOOKUP($A27,'liste reference'!$B$7:$P$904,3,0)),VLOOKUP($A27,'liste reference'!$A$7:$P$904,4,0)),"")</f>
        <v>3</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Draparnaldia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1118</v>
      </c>
      <c r="Q27" s="491" t="n">
        <f aca="false">IF(ISTEXT(H27),"",(B27*$B$7/100)+(C27*$C$7/100))</f>
        <v>0.00175</v>
      </c>
      <c r="R27" s="492" t="n">
        <f aca="false">IF(OR(ISTEXT(H27),Q27=0),"",IF(Q27&lt;0.1,1,IF(Q27&lt;1,2,IF(Q27&lt;10,3,IF(Q27&lt;50,4,IF(Q27&gt;=50,5,""))))))</f>
        <v>1</v>
      </c>
      <c r="S27" s="492" t="n">
        <f aca="false">IF(ISERROR(R27*I27),0,R27*I27)</f>
        <v>18</v>
      </c>
      <c r="T27" s="492" t="n">
        <f aca="false">IF(ISERROR(R27*I27*J27),0,R27*I27*J27)</f>
        <v>54</v>
      </c>
      <c r="U27" s="506" t="n">
        <f aca="false">IF(ISERROR(R27*J27),0,R27*J27)</f>
        <v>3</v>
      </c>
      <c r="V27" s="493" t="n">
        <v>3</v>
      </c>
      <c r="W27" s="494"/>
      <c r="Y27" s="495" t="str">
        <f aca="false">IF(A27="new.cod","NEWCOD",IF(AND((Z27=""),ISTEXT(A27)),A27,IF(Z27="","",INDEX('liste reference'!$A$7:$A$904,Z27))))</f>
        <v>DRASPX</v>
      </c>
      <c r="Z27" s="284" t="n">
        <f aca="false">IF(ISERROR(MATCH(A27,'liste reference'!$A$7:$A$904,0)),IF(ISERROR(MATCH(A27,'liste reference'!$B$7:$B$904,0)),"",(MATCH(A27,'liste reference'!$B$7:$B$904,0))),(MATCH(A27,'liste reference'!$A$7:$A$904,0)))</f>
        <v>28</v>
      </c>
      <c r="AA27" s="496"/>
      <c r="AB27" s="497"/>
      <c r="AC27" s="497"/>
      <c r="BC27" s="284" t="n">
        <f aca="false">IF(A27="","",1)</f>
        <v>1</v>
      </c>
    </row>
    <row r="28" customFormat="false" ht="12.75" hidden="false" customHeight="false" outlineLevel="0" collapsed="false">
      <c r="A28" s="498" t="s">
        <v>176</v>
      </c>
      <c r="B28" s="499" t="n">
        <v>0.1</v>
      </c>
      <c r="C28" s="500"/>
      <c r="D28" s="501" t="str">
        <f aca="false">IF(ISERROR(VLOOKUP($A28,'liste reference'!$A$7:$D$904,2,0)),IF(ISERROR(VLOOKUP($A28,'liste reference'!$B$7:$D$904,1,0)),"",VLOOKUP($A28,'liste reference'!$B$7:$D$904,1,0)),VLOOKUP($A28,'liste reference'!$A$7:$D$904,2,0))</f>
        <v>Microspora sp.</v>
      </c>
      <c r="E28" s="501" t="e">
        <f aca="false">IF(D28="",0,VLOOKUP(D28,D$22:D27,1,0))</f>
        <v>#N/A</v>
      </c>
      <c r="F28" s="508" t="n">
        <f aca="false">($B28*$B$7+$C28*$C$7)/100</f>
        <v>0.035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12</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Microspora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1132</v>
      </c>
      <c r="Q28" s="491" t="n">
        <f aca="false">IF(ISTEXT(H28),"",(B28*$B$7/100)+(C28*$C$7/100))</f>
        <v>0.035</v>
      </c>
      <c r="R28" s="492" t="n">
        <f aca="false">IF(OR(ISTEXT(H28),Q28=0),"",IF(Q28&lt;0.1,1,IF(Q28&lt;1,2,IF(Q28&lt;10,3,IF(Q28&lt;50,4,IF(Q28&gt;=50,5,""))))))</f>
        <v>1</v>
      </c>
      <c r="S28" s="492" t="n">
        <f aca="false">IF(ISERROR(R28*I28),0,R28*I28)</f>
        <v>12</v>
      </c>
      <c r="T28" s="492" t="n">
        <f aca="false">IF(ISERROR(R28*I28*J28),0,R28*I28*J28)</f>
        <v>24</v>
      </c>
      <c r="U28" s="506" t="n">
        <f aca="false">IF(ISERROR(R28*J28),0,R28*J28)</f>
        <v>2</v>
      </c>
      <c r="V28" s="493" t="n">
        <v>2</v>
      </c>
      <c r="W28" s="494"/>
      <c r="Y28" s="495" t="str">
        <f aca="false">IF(A28="new.cod","NEWCOD",IF(AND((Z28=""),ISTEXT(A28)),A28,IF(Z28="","",INDEX('liste reference'!$A$7:$A$904,Z28))))</f>
        <v>MICSPX</v>
      </c>
      <c r="Z28" s="284" t="n">
        <f aca="false">IF(ISERROR(MATCH(A28,'liste reference'!$A$7:$A$904,0)),IF(ISERROR(MATCH(A28,'liste reference'!$B$7:$B$904,0)),"",(MATCH(A28,'liste reference'!$B$7:$B$904,0))),(MATCH(A28,'liste reference'!$A$7:$A$904,0)))</f>
        <v>42</v>
      </c>
      <c r="AA28" s="496"/>
      <c r="AB28" s="497"/>
      <c r="AC28" s="497"/>
      <c r="BC28" s="284" t="n">
        <f aca="false">IF(A28="","",1)</f>
        <v>1</v>
      </c>
    </row>
    <row r="29" customFormat="false" ht="12.75" hidden="false" customHeight="false" outlineLevel="0" collapsed="false">
      <c r="A29" s="498" t="s">
        <v>181</v>
      </c>
      <c r="B29" s="499"/>
      <c r="C29" s="500" t="n">
        <v>0.2</v>
      </c>
      <c r="D29" s="501" t="str">
        <f aca="false">IF(ISERROR(VLOOKUP($A29,'liste reference'!$A$7:$D$904,2,0)),IF(ISERROR(VLOOKUP($A29,'liste reference'!$B$7:$D$904,1,0)),"",VLOOKUP($A29,'liste reference'!$B$7:$D$904,1,0)),VLOOKUP($A29,'liste reference'!$A$7:$D$904,2,0))</f>
        <v>Mougeotia sp.</v>
      </c>
      <c r="E29" s="501" t="e">
        <f aca="false">IF(D29="",0,VLOOKUP(D29,D$22:D28,1,0))</f>
        <v>#N/A</v>
      </c>
      <c r="F29" s="508" t="n">
        <f aca="false">($B29*$B$7+$C29*$C$7)/100</f>
        <v>0.13</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Mougeotia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1146</v>
      </c>
      <c r="Q29" s="491" t="n">
        <f aca="false">IF(ISTEXT(H29),"",(B29*$B$7/100)+(C29*$C$7/100))</f>
        <v>0.13</v>
      </c>
      <c r="R29" s="492" t="n">
        <f aca="false">IF(OR(ISTEXT(H29),Q29=0),"",IF(Q29&lt;0.1,1,IF(Q29&lt;1,2,IF(Q29&lt;10,3,IF(Q29&lt;50,4,IF(Q29&gt;=50,5,""))))))</f>
        <v>2</v>
      </c>
      <c r="S29" s="492" t="n">
        <f aca="false">IF(ISERROR(R29*I29),0,R29*I29)</f>
        <v>26</v>
      </c>
      <c r="T29" s="492" t="n">
        <f aca="false">IF(ISERROR(R29*I29*J29),0,R29*I29*J29)</f>
        <v>52</v>
      </c>
      <c r="U29" s="506" t="n">
        <f aca="false">IF(ISERROR(R29*J29),0,R29*J29)</f>
        <v>4</v>
      </c>
      <c r="V29" s="493" t="n">
        <v>4</v>
      </c>
      <c r="W29" s="494"/>
      <c r="Y29" s="495" t="str">
        <f aca="false">IF(A29="new.cod","NEWCOD",IF(AND((Z29=""),ISTEXT(A29)),A29,IF(Z29="","",INDEX('liste reference'!$A$7:$A$904,Z29))))</f>
        <v>MOUSPX</v>
      </c>
      <c r="Z29" s="284" t="n">
        <f aca="false">IF(ISERROR(MATCH(A29,'liste reference'!$A$7:$A$904,0)),IF(ISERROR(MATCH(A29,'liste reference'!$B$7:$B$904,0)),"",(MATCH(A29,'liste reference'!$B$7:$B$904,0))),(MATCH(A29,'liste reference'!$A$7:$A$904,0)))</f>
        <v>44</v>
      </c>
      <c r="AA29" s="496"/>
      <c r="AB29" s="497"/>
      <c r="AC29" s="497"/>
      <c r="BC29" s="284" t="n">
        <f aca="false">IF(A29="","",1)</f>
        <v>1</v>
      </c>
    </row>
    <row r="30" customFormat="false" ht="12.75" hidden="false" customHeight="false" outlineLevel="0" collapsed="false">
      <c r="A30" s="498" t="s">
        <v>224</v>
      </c>
      <c r="B30" s="499"/>
      <c r="C30" s="500" t="n">
        <v>0.2</v>
      </c>
      <c r="D30" s="501" t="str">
        <f aca="false">IF(ISERROR(VLOOKUP($A30,'liste reference'!$A$7:$D$904,2,0)),IF(ISERROR(VLOOKUP($A30,'liste reference'!$B$7:$D$904,1,0)),"",VLOOKUP($A30,'liste reference'!$B$7:$D$904,1,0)),VLOOKUP($A30,'liste reference'!$A$7:$D$904,2,0))</f>
        <v>Oedogonium sp.</v>
      </c>
      <c r="E30" s="501" t="e">
        <f aca="false">IF(D30="",0,VLOOKUP(D30,D$22:D29,1,0))</f>
        <v>#N/A</v>
      </c>
      <c r="F30" s="508" t="n">
        <f aca="false">($B30*$B$7+$C30*$C$7)/100</f>
        <v>0.13</v>
      </c>
      <c r="G30" s="503" t="str">
        <f aca="false">IF(A30="","",IF(ISERROR(VLOOKUP($A30,'liste reference'!$A$7:$P$904,13,0)),IF(ISERROR(VLOOKUP($A30,'liste reference'!$B$7:$P$904,12,0)),"    -",VLOOKUP($A30,'liste reference'!$B$7:$P$904,12,0)),VLOOKUP($A30,'liste reference'!$A$7:$P$904,13,0)))</f>
        <v>ALG</v>
      </c>
      <c r="H30" s="484" t="n">
        <f aca="false">IF(A30="","x",IF(ISERROR(VLOOKUP($A30,'liste reference'!$A$7:$P$904,14,0)),IF(ISERROR(VLOOKUP($A30,'liste reference'!$B$7:$P$904,13,0)),"x",VLOOKUP($A30,'liste reference'!$B$7:$P$904,13,0)),VLOOKUP($A30,'liste reference'!$A$7:$P$904,14,0)))</f>
        <v>2</v>
      </c>
      <c r="I30" s="504" t="n">
        <f aca="false">IF(ISNUMBER(H30),IF(ISERROR(VLOOKUP($A30,'liste reference'!$A$7:$P$904,3,0)),IF(ISERROR(VLOOKUP($A30,'liste reference'!$B$7:$P$904,2,0)),"",VLOOKUP($A30,'liste reference'!$B$7:$P$904,2,0)),VLOOKUP($A30,'liste reference'!$A$7:$P$904,3,0)),"")</f>
        <v>6</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Oedogonium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1134</v>
      </c>
      <c r="Q30" s="491" t="n">
        <f aca="false">IF(ISTEXT(H30),"",(B30*$B$7/100)+(C30*$C$7/100))</f>
        <v>0.13</v>
      </c>
      <c r="R30" s="492" t="n">
        <f aca="false">IF(OR(ISTEXT(H30),Q30=0),"",IF(Q30&lt;0.1,1,IF(Q30&lt;1,2,IF(Q30&lt;10,3,IF(Q30&lt;50,4,IF(Q30&gt;=50,5,""))))))</f>
        <v>2</v>
      </c>
      <c r="S30" s="492" t="n">
        <f aca="false">IF(ISERROR(R30*I30),0,R30*I30)</f>
        <v>12</v>
      </c>
      <c r="T30" s="492" t="n">
        <f aca="false">IF(ISERROR(R30*I30*J30),0,R30*I30*J30)</f>
        <v>24</v>
      </c>
      <c r="U30" s="506" t="n">
        <f aca="false">IF(ISERROR(R30*J30),0,R30*J30)</f>
        <v>4</v>
      </c>
      <c r="V30" s="493" t="n">
        <v>4</v>
      </c>
      <c r="W30" s="494"/>
      <c r="Y30" s="495" t="str">
        <f aca="false">IF(A30="new.cod","NEWCOD",IF(AND((Z30=""),ISTEXT(A30)),A30,IF(Z30="","",INDEX('liste reference'!$A$7:$A$904,Z30))))</f>
        <v>OEDSPX</v>
      </c>
      <c r="Z30" s="284" t="n">
        <f aca="false">IF(ISERROR(MATCH(A30,'liste reference'!$A$7:$A$904,0)),IF(ISERROR(MATCH(A30,'liste reference'!$B$7:$B$904,0)),"",(MATCH(A30,'liste reference'!$B$7:$B$904,0))),(MATCH(A30,'liste reference'!$A$7:$A$904,0)))</f>
        <v>56</v>
      </c>
      <c r="AA30" s="496"/>
      <c r="AB30" s="497"/>
      <c r="AC30" s="497"/>
      <c r="BC30" s="284" t="n">
        <f aca="false">IF(A30="","",1)</f>
        <v>1</v>
      </c>
    </row>
    <row r="31" customFormat="false" ht="12.75" hidden="false" customHeight="false" outlineLevel="0" collapsed="false">
      <c r="A31" s="498" t="s">
        <v>227</v>
      </c>
      <c r="B31" s="499"/>
      <c r="C31" s="500" t="n">
        <v>0.07</v>
      </c>
      <c r="D31" s="501" t="str">
        <f aca="false">IF(ISERROR(VLOOKUP($A31,'liste reference'!$A$7:$D$904,2,0)),IF(ISERROR(VLOOKUP($A31,'liste reference'!$B$7:$D$904,1,0)),"",VLOOKUP($A31,'liste reference'!$B$7:$D$904,1,0)),VLOOKUP($A31,'liste reference'!$A$7:$D$904,2,0))</f>
        <v>Oscillatoria sp.</v>
      </c>
      <c r="E31" s="501" t="e">
        <f aca="false">IF(D31="",0,VLOOKUP(D31,D$22:D30,1,0))</f>
        <v>#N/A</v>
      </c>
      <c r="F31" s="508" t="n">
        <f aca="false">($B31*$B$7+$C31*$C$7)/100</f>
        <v>0.0455</v>
      </c>
      <c r="G31" s="503" t="str">
        <f aca="false">IF(A31="","",IF(ISERROR(VLOOKUP($A31,'liste reference'!$A$7:$P$904,13,0)),IF(ISERROR(VLOOKUP($A31,'liste reference'!$B$7:$P$904,12,0)),"    -",VLOOKUP($A31,'liste reference'!$B$7:$P$904,12,0)),VLOOKUP($A31,'liste reference'!$A$7:$P$904,13,0)))</f>
        <v>ALG</v>
      </c>
      <c r="H31" s="484" t="n">
        <f aca="false">IF(A31="","x",IF(ISERROR(VLOOKUP($A31,'liste reference'!$A$7:$P$904,14,0)),IF(ISERROR(VLOOKUP($A31,'liste reference'!$B$7:$P$904,13,0)),"x",VLOOKUP($A31,'liste reference'!$B$7:$P$904,13,0)),VLOOKUP($A31,'liste reference'!$A$7:$P$904,14,0)))</f>
        <v>2</v>
      </c>
      <c r="I31" s="504" t="n">
        <f aca="false">IF(ISNUMBER(H31),IF(ISERROR(VLOOKUP($A31,'liste reference'!$A$7:$P$904,3,0)),IF(ISERROR(VLOOKUP($A31,'liste reference'!$B$7:$P$904,2,0)),"",VLOOKUP($A31,'liste reference'!$B$7:$P$904,2,0)),VLOOKUP($A31,'liste reference'!$A$7:$P$904,3,0)),"")</f>
        <v>11</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Oscillatoria sp.</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1108</v>
      </c>
      <c r="Q31" s="491" t="n">
        <f aca="false">IF(ISTEXT(H31),"",(B31*$B$7/100)+(C31*$C$7/100))</f>
        <v>0.0455</v>
      </c>
      <c r="R31" s="492" t="n">
        <f aca="false">IF(OR(ISTEXT(H31),Q31=0),"",IF(Q31&lt;0.1,1,IF(Q31&lt;1,2,IF(Q31&lt;10,3,IF(Q31&lt;50,4,IF(Q31&gt;=50,5,""))))))</f>
        <v>1</v>
      </c>
      <c r="S31" s="492" t="n">
        <f aca="false">IF(ISERROR(R31*I31),0,R31*I31)</f>
        <v>11</v>
      </c>
      <c r="T31" s="492" t="n">
        <f aca="false">IF(ISERROR(R31*I31*J31),0,R31*I31*J31)</f>
        <v>11</v>
      </c>
      <c r="U31" s="506" t="n">
        <f aca="false">IF(ISERROR(R31*J31),0,R31*J31)</f>
        <v>1</v>
      </c>
      <c r="V31" s="493" t="n">
        <v>1</v>
      </c>
      <c r="W31" s="494"/>
      <c r="Y31" s="495" t="str">
        <f aca="false">IF(A31="new.cod","NEWCOD",IF(AND((Z31=""),ISTEXT(A31)),A31,IF(Z31="","",INDEX('liste reference'!$A$7:$A$904,Z31))))</f>
        <v>OSCSPX</v>
      </c>
      <c r="Z31" s="284" t="n">
        <f aca="false">IF(ISERROR(MATCH(A31,'liste reference'!$A$7:$A$904,0)),IF(ISERROR(MATCH(A31,'liste reference'!$B$7:$B$904,0)),"",(MATCH(A31,'liste reference'!$B$7:$B$904,0))),(MATCH(A31,'liste reference'!$A$7:$A$904,0)))</f>
        <v>57</v>
      </c>
      <c r="AA31" s="496"/>
      <c r="AB31" s="497"/>
      <c r="AC31" s="497"/>
      <c r="BC31" s="284" t="n">
        <f aca="false">IF(A31="","",1)</f>
        <v>1</v>
      </c>
    </row>
    <row r="32" customFormat="false" ht="12.75" hidden="false" customHeight="false" outlineLevel="0" collapsed="false">
      <c r="A32" s="498" t="s">
        <v>259</v>
      </c>
      <c r="B32" s="499"/>
      <c r="C32" s="500" t="n">
        <v>0.3</v>
      </c>
      <c r="D32" s="501" t="str">
        <f aca="false">IF(ISERROR(VLOOKUP($A32,'liste reference'!$A$7:$D$904,2,0)),IF(ISERROR(VLOOKUP($A32,'liste reference'!$B$7:$D$904,1,0)),"",VLOOKUP($A32,'liste reference'!$B$7:$D$904,1,0)),VLOOKUP($A32,'liste reference'!$A$7:$D$904,2,0))</f>
        <v>Spirogyra sp.</v>
      </c>
      <c r="E32" s="501" t="e">
        <f aca="false">IF(D32="",0,VLOOKUP(D32,D$22:D31,1,0))</f>
        <v>#N/A</v>
      </c>
      <c r="F32" s="508" t="n">
        <f aca="false">($B32*$B$7+$C32*$C$7)/100</f>
        <v>0.195</v>
      </c>
      <c r="G32" s="503" t="str">
        <f aca="false">IF(A32="","",IF(ISERROR(VLOOKUP($A32,'liste reference'!$A$7:$P$904,13,0)),IF(ISERROR(VLOOKUP($A32,'liste reference'!$B$7:$P$904,12,0)),"    -",VLOOKUP($A32,'liste reference'!$B$7:$P$904,12,0)),VLOOKUP($A32,'liste reference'!$A$7:$P$904,13,0)))</f>
        <v>ALG</v>
      </c>
      <c r="H32" s="484" t="n">
        <f aca="false">IF(A32="","x",IF(ISERROR(VLOOKUP($A32,'liste reference'!$A$7:$P$904,14,0)),IF(ISERROR(VLOOKUP($A32,'liste reference'!$B$7:$P$904,13,0)),"x",VLOOKUP($A32,'liste reference'!$B$7:$P$904,13,0)),VLOOKUP($A32,'liste reference'!$A$7:$P$904,14,0)))</f>
        <v>2</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Spirogyra sp.</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1147</v>
      </c>
      <c r="Q32" s="491" t="n">
        <f aca="false">IF(ISTEXT(H32),"",(B32*$B$7/100)+(C32*$C$7/100))</f>
        <v>0.195</v>
      </c>
      <c r="R32" s="492" t="n">
        <f aca="false">IF(OR(ISTEXT(H32),Q32=0),"",IF(Q32&lt;0.1,1,IF(Q32&lt;1,2,IF(Q32&lt;10,3,IF(Q32&lt;50,4,IF(Q32&gt;=50,5,""))))))</f>
        <v>2</v>
      </c>
      <c r="S32" s="492" t="n">
        <f aca="false">IF(ISERROR(R32*I32),0,R32*I32)</f>
        <v>20</v>
      </c>
      <c r="T32" s="492" t="n">
        <f aca="false">IF(ISERROR(R32*I32*J32),0,R32*I32*J32)</f>
        <v>20</v>
      </c>
      <c r="U32" s="506" t="n">
        <f aca="false">IF(ISERROR(R32*J32),0,R32*J32)</f>
        <v>2</v>
      </c>
      <c r="V32" s="493" t="n">
        <v>2</v>
      </c>
      <c r="W32" s="494"/>
      <c r="Y32" s="495" t="str">
        <f aca="false">IF(A32="new.cod","NEWCOD",IF(AND((Z32=""),ISTEXT(A32)),A32,IF(Z32="","",INDEX('liste reference'!$A$7:$A$904,Z32))))</f>
        <v>SPISPX</v>
      </c>
      <c r="Z32" s="284" t="n">
        <f aca="false">IF(ISERROR(MATCH(A32,'liste reference'!$A$7:$A$904,0)),IF(ISERROR(MATCH(A32,'liste reference'!$B$7:$B$904,0)),"",(MATCH(A32,'liste reference'!$B$7:$B$904,0))),(MATCH(A32,'liste reference'!$A$7:$A$904,0)))</f>
        <v>70</v>
      </c>
      <c r="AA32" s="496"/>
      <c r="AB32" s="497"/>
      <c r="AC32" s="497"/>
      <c r="BC32" s="284" t="n">
        <f aca="false">IF(A32="","",1)</f>
        <v>1</v>
      </c>
    </row>
    <row r="33" customFormat="false" ht="12.75" hidden="false" customHeight="false" outlineLevel="0" collapsed="false">
      <c r="A33" s="498" t="s">
        <v>370</v>
      </c>
      <c r="B33" s="499"/>
      <c r="C33" s="500" t="n">
        <v>0.005</v>
      </c>
      <c r="D33" s="501" t="str">
        <f aca="false">IF(ISERROR(VLOOKUP($A33,'liste reference'!$A$7:$D$904,2,0)),IF(ISERROR(VLOOKUP($A33,'liste reference'!$B$7:$D$904,1,0)),"",VLOOKUP($A33,'liste reference'!$B$7:$D$904,1,0)),VLOOKUP($A33,'liste reference'!$A$7:$D$904,2,0))</f>
        <v>Conocephalum conicum</v>
      </c>
      <c r="E33" s="501" t="e">
        <f aca="false">IF(D33="",0,VLOOKUP(D33,D$22:D32,1,0))</f>
        <v>#N/A</v>
      </c>
      <c r="F33" s="508" t="n">
        <f aca="false">($B33*$B$7+$C33*$C$7)/100</f>
        <v>0.00325</v>
      </c>
      <c r="G33" s="503" t="str">
        <f aca="false">IF(A33="","",IF(ISERROR(VLOOKUP($A33,'liste reference'!$A$7:$P$904,13,0)),IF(ISERROR(VLOOKUP($A33,'liste reference'!$B$7:$P$904,12,0)),"    -",VLOOKUP($A33,'liste reference'!$B$7:$P$904,12,0)),VLOOKUP($A33,'liste reference'!$A$7:$P$904,13,0)))</f>
        <v>BRh</v>
      </c>
      <c r="H33" s="484" t="n">
        <f aca="false">IF(A33="","x",IF(ISERROR(VLOOKUP($A33,'liste reference'!$A$7:$P$904,14,0)),IF(ISERROR(VLOOKUP($A33,'liste reference'!$B$7:$P$904,13,0)),"x",VLOOKUP($A33,'liste reference'!$B$7:$P$904,13,0)),VLOOKUP($A33,'liste reference'!$A$7:$P$904,14,0)))</f>
        <v>4</v>
      </c>
      <c r="I33" s="504" t="n">
        <f aca="false">IF(ISNUMBER(H33),IF(ISERROR(VLOOKUP($A33,'liste reference'!$A$7:$P$904,3,0)),IF(ISERROR(VLOOKUP($A33,'liste reference'!$B$7:$P$904,2,0)),"",VLOOKUP($A33,'liste reference'!$B$7:$P$904,2,0)),VLOOKUP($A33,'liste reference'!$A$7:$P$904,3,0)),"")</f>
        <v>0</v>
      </c>
      <c r="J33" s="486" t="n">
        <f aca="false">IF(ISNUMBER(H33),IF(ISERROR(VLOOKUP($A33,'liste reference'!$A$7:$P$904,4,0)),IF(ISERROR(VLOOKUP($A33,'liste reference'!$B$7:$P$904,3,0)),"",VLOOKUP($A33,'liste reference'!$B$7:$P$904,3,0)),VLOOKUP($A33,'liste reference'!$A$7:$P$904,4,0)),"")</f>
        <v>0</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Conocephalum conicum</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1176</v>
      </c>
      <c r="Q33" s="491" t="n">
        <f aca="false">IF(ISTEXT(H33),"",(B33*$B$7/100)+(C33*$C$7/100))</f>
        <v>0.00325</v>
      </c>
      <c r="R33" s="492" t="n">
        <f aca="false">IF(OR(ISTEXT(H33),Q33=0),"",IF(Q33&lt;0.1,1,IF(Q33&lt;1,2,IF(Q33&lt;10,3,IF(Q33&lt;50,4,IF(Q33&gt;=50,5,""))))))</f>
        <v>1</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CONCON</v>
      </c>
      <c r="Z33" s="284" t="n">
        <f aca="false">IF(ISERROR(MATCH(A33,'liste reference'!$A$7:$A$904,0)),IF(ISERROR(MATCH(A33,'liste reference'!$B$7:$B$904,0)),"",(MATCH(A33,'liste reference'!$B$7:$B$904,0))),(MATCH(A33,'liste reference'!$A$7:$A$904,0)))</f>
        <v>100</v>
      </c>
      <c r="AA33" s="496"/>
      <c r="AB33" s="497"/>
      <c r="AC33" s="497"/>
      <c r="BC33" s="284" t="n">
        <f aca="false">IF(A33="","",1)</f>
        <v>1</v>
      </c>
    </row>
    <row r="34" customFormat="false" ht="12.75" hidden="false" customHeight="false" outlineLevel="0" collapsed="false">
      <c r="A34" s="498" t="s">
        <v>514</v>
      </c>
      <c r="B34" s="499"/>
      <c r="C34" s="500" t="n">
        <v>0.005</v>
      </c>
      <c r="D34" s="501" t="str">
        <f aca="false">IF(ISERROR(VLOOKUP($A34,'liste reference'!$A$7:$D$904,2,0)),IF(ISERROR(VLOOKUP($A34,'liste reference'!$B$7:$D$904,1,0)),"",VLOOKUP($A34,'liste reference'!$B$7:$D$904,1,0)),VLOOKUP($A34,'liste reference'!$A$7:$D$904,2,0))</f>
        <v>Pellia endiviifolia</v>
      </c>
      <c r="E34" s="501" t="e">
        <f aca="false">IF(D34="",0,VLOOKUP(D34,D$22:D27,1,0))</f>
        <v>#N/A</v>
      </c>
      <c r="F34" s="508" t="n">
        <f aca="false">($B34*$B$7+$C34*$C$7)/100</f>
        <v>0.00325</v>
      </c>
      <c r="G34" s="503" t="str">
        <f aca="false">IF(A34="","",IF(ISERROR(VLOOKUP($A34,'liste reference'!$A$7:$P$904,13,0)),IF(ISERROR(VLOOKUP($A34,'liste reference'!$B$7:$P$904,12,0)),"    -",VLOOKUP($A34,'liste reference'!$B$7:$P$904,12,0)),VLOOKUP($A34,'liste reference'!$A$7:$P$904,13,0)))</f>
        <v>BRh</v>
      </c>
      <c r="H34" s="484" t="n">
        <f aca="false">IF(A34="","x",IF(ISERROR(VLOOKUP($A34,'liste reference'!$A$7:$P$904,14,0)),IF(ISERROR(VLOOKUP($A34,'liste reference'!$B$7:$P$904,13,0)),"x",VLOOKUP($A34,'liste reference'!$B$7:$P$904,13,0)),VLOOKUP($A34,'liste reference'!$A$7:$P$904,14,0)))</f>
        <v>4</v>
      </c>
      <c r="I34" s="504" t="n">
        <f aca="false">IF(ISNUMBER(H34),IF(ISERROR(VLOOKUP($A34,'liste reference'!$A$7:$P$904,3,0)),IF(ISERROR(VLOOKUP($A34,'liste reference'!$B$7:$P$904,2,0)),"",VLOOKUP($A34,'liste reference'!$B$7:$P$904,2,0)),VLOOKUP($A34,'liste reference'!$A$7:$P$904,3,0)),"")</f>
        <v>0</v>
      </c>
      <c r="J34" s="486" t="n">
        <f aca="false">IF(ISNUMBER(H34),IF(ISERROR(VLOOKUP($A34,'liste reference'!$A$7:$P$904,4,0)),IF(ISERROR(VLOOKUP($A34,'liste reference'!$B$7:$P$904,3,0)),"",VLOOKUP($A34,'liste reference'!$B$7:$P$904,3,0)),VLOOKUP($A34,'liste reference'!$A$7:$P$904,4,0)),"")</f>
        <v>0</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Pellia endiviifolia</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1197</v>
      </c>
      <c r="Q34" s="491" t="n">
        <f aca="false">IF(ISTEXT(H34),"",(B34*$B$7/100)+(C34*$C$7/100))</f>
        <v>0.00325</v>
      </c>
      <c r="R34" s="492" t="n">
        <f aca="false">IF(OR(ISTEXT(H34),Q34=0),"",IF(Q34&lt;0.1,1,IF(Q34&lt;1,2,IF(Q34&lt;10,3,IF(Q34&lt;50,4,IF(Q34&gt;=50,5,""))))))</f>
        <v>1</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PELEND</v>
      </c>
      <c r="Z34" s="284" t="n">
        <f aca="false">IF(ISERROR(MATCH(A34,'liste reference'!$A$7:$A$904,0)),IF(ISERROR(MATCH(A34,'liste reference'!$B$7:$B$904,0)),"",(MATCH(A34,'liste reference'!$B$7:$B$904,0))),(MATCH(A34,'liste reference'!$A$7:$A$904,0)))</f>
        <v>121</v>
      </c>
      <c r="AA34" s="496"/>
      <c r="AB34" s="497"/>
      <c r="AC34" s="497"/>
      <c r="BC34" s="284" t="n">
        <f aca="false">IF(A34="","",1)</f>
        <v>1</v>
      </c>
    </row>
    <row r="35" customFormat="false" ht="12.75" hidden="false" customHeight="false" outlineLevel="0" collapsed="false">
      <c r="A35" s="498" t="s">
        <v>647</v>
      </c>
      <c r="B35" s="499" t="n">
        <v>0.05</v>
      </c>
      <c r="C35" s="500" t="n">
        <v>0.01</v>
      </c>
      <c r="D35" s="501" t="str">
        <f aca="false">IF(ISERROR(VLOOKUP($A35,'liste reference'!$A$7:$D$904,2,0)),IF(ISERROR(VLOOKUP($A35,'liste reference'!$B$7:$D$904,1,0)),"",VLOOKUP($A35,'liste reference'!$B$7:$D$904,1,0)),VLOOKUP($A35,'liste reference'!$A$7:$D$904,2,0))</f>
        <v>Amblystegium riparium</v>
      </c>
      <c r="E35" s="501" t="e">
        <f aca="false">IF(D35="",0,VLOOKUP(D35,D$22:D34,1,0))</f>
        <v>#N/A</v>
      </c>
      <c r="F35" s="508" t="n">
        <f aca="false">($B35*$B$7+$C35*$C$7)/100</f>
        <v>0.024</v>
      </c>
      <c r="G35" s="503" t="str">
        <f aca="false">IF(A35="","",IF(ISERROR(VLOOKUP($A35,'liste reference'!$A$7:$P$904,13,0)),IF(ISERROR(VLOOKUP($A35,'liste reference'!$B$7:$P$904,12,0)),"    -",VLOOKUP($A35,'liste reference'!$B$7:$P$904,12,0)),VLOOKUP($A35,'liste reference'!$A$7:$P$904,13,0)))</f>
        <v>BRm</v>
      </c>
      <c r="H35" s="484" t="n">
        <f aca="false">IF(A35="","x",IF(ISERROR(VLOOKUP($A35,'liste reference'!$A$7:$P$904,14,0)),IF(ISERROR(VLOOKUP($A35,'liste reference'!$B$7:$P$904,13,0)),"x",VLOOKUP($A35,'liste reference'!$B$7:$P$904,13,0)),VLOOKUP($A35,'liste reference'!$A$7:$P$904,14,0)))</f>
        <v>5</v>
      </c>
      <c r="I35" s="504" t="n">
        <f aca="false">IF(ISNUMBER(H35),IF(ISERROR(VLOOKUP($A35,'liste reference'!$A$7:$P$904,3,0)),IF(ISERROR(VLOOKUP($A35,'liste reference'!$B$7:$P$904,2,0)),"",VLOOKUP($A35,'liste reference'!$B$7:$P$904,2,0)),VLOOKUP($A35,'liste reference'!$A$7:$P$904,3,0)),"")</f>
        <v>5</v>
      </c>
      <c r="J35" s="486" t="n">
        <f aca="false">IF(ISNUMBER(H35),IF(ISERROR(VLOOKUP($A35,'liste reference'!$A$7:$P$904,4,0)),IF(ISERROR(VLOOKUP($A35,'liste reference'!$B$7:$P$904,3,0)),"",VLOOKUP($A35,'liste reference'!$B$7:$P$904,3,0)),VLOOKUP($A35,'liste reference'!$A$7:$P$904,4,0)),"")</f>
        <v>2</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Amblystegium riparium</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1219</v>
      </c>
      <c r="Q35" s="491" t="n">
        <f aca="false">IF(ISTEXT(H35),"",(B35*$B$7/100)+(C35*$C$7/100))</f>
        <v>0.024</v>
      </c>
      <c r="R35" s="492" t="n">
        <f aca="false">IF(OR(ISTEXT(H35),Q35=0),"",IF(Q35&lt;0.1,1,IF(Q35&lt;1,2,IF(Q35&lt;10,3,IF(Q35&lt;50,4,IF(Q35&gt;=50,5,""))))))</f>
        <v>1</v>
      </c>
      <c r="S35" s="492" t="n">
        <f aca="false">IF(ISERROR(R35*I35),0,R35*I35)</f>
        <v>5</v>
      </c>
      <c r="T35" s="492" t="n">
        <f aca="false">IF(ISERROR(R35*I35*J35),0,R35*I35*J35)</f>
        <v>10</v>
      </c>
      <c r="U35" s="506" t="n">
        <f aca="false">IF(ISERROR(R35*J35),0,R35*J35)</f>
        <v>2</v>
      </c>
      <c r="V35" s="493" t="n">
        <v>2</v>
      </c>
      <c r="W35" s="494"/>
      <c r="Y35" s="495" t="str">
        <f aca="false">IF(A35="new.cod","NEWCOD",IF(AND((Z35=""),ISTEXT(A35)),A35,IF(Z35="","",INDEX('liste reference'!$A$7:$A$904,Z35))))</f>
        <v>AMBRIP</v>
      </c>
      <c r="Z35" s="284" t="n">
        <f aca="false">IF(ISERROR(MATCH(A35,'liste reference'!$A$7:$A$904,0)),IF(ISERROR(MATCH(A35,'liste reference'!$B$7:$B$904,0)),"",(MATCH(A35,'liste reference'!$B$7:$B$904,0))),(MATCH(A35,'liste reference'!$A$7:$A$904,0)))</f>
        <v>149</v>
      </c>
      <c r="AA35" s="496"/>
      <c r="AB35" s="497"/>
      <c r="AC35" s="497"/>
      <c r="BC35" s="284" t="n">
        <f aca="false">IF(A35="","",1)</f>
        <v>1</v>
      </c>
    </row>
    <row r="36" customFormat="false" ht="12.75" hidden="false" customHeight="false" outlineLevel="0" collapsed="false">
      <c r="A36" s="498" t="s">
        <v>743</v>
      </c>
      <c r="B36" s="499" t="n">
        <v>0.01</v>
      </c>
      <c r="C36" s="500"/>
      <c r="D36" s="501" t="str">
        <f aca="false">IF(ISERROR(VLOOKUP($A36,'liste reference'!$A$7:$D$904,2,0)),IF(ISERROR(VLOOKUP($A36,'liste reference'!$B$7:$D$904,1,0)),"",VLOOKUP($A36,'liste reference'!$B$7:$D$904,1,0)),VLOOKUP($A36,'liste reference'!$A$7:$D$904,2,0))</f>
        <v>Cinclidotus fontinaloides</v>
      </c>
      <c r="E36" s="501" t="e">
        <f aca="false">IF(D36="",0,VLOOKUP(D36,D$22:D35,1,0))</f>
        <v>#N/A</v>
      </c>
      <c r="F36" s="508" t="n">
        <f aca="false">($B36*$B$7+$C36*$C$7)/100</f>
        <v>0.0035</v>
      </c>
      <c r="G36" s="503" t="str">
        <f aca="false">IF(A36="","",IF(ISERROR(VLOOKUP($A36,'liste reference'!$A$7:$P$904,13,0)),IF(ISERROR(VLOOKUP($A36,'liste reference'!$B$7:$P$904,12,0)),"    -",VLOOKUP($A36,'liste reference'!$B$7:$P$904,12,0)),VLOOKUP($A36,'liste reference'!$A$7:$P$904,13,0)))</f>
        <v>BRm</v>
      </c>
      <c r="H36" s="484" t="n">
        <f aca="false">IF(A36="","x",IF(ISERROR(VLOOKUP($A36,'liste reference'!$A$7:$P$904,14,0)),IF(ISERROR(VLOOKUP($A36,'liste reference'!$B$7:$P$904,13,0)),"x",VLOOKUP($A36,'liste reference'!$B$7:$P$904,13,0)),VLOOKUP($A36,'liste reference'!$A$7:$P$904,14,0)))</f>
        <v>5</v>
      </c>
      <c r="I36" s="504" t="n">
        <f aca="false">IF(ISNUMBER(H36),IF(ISERROR(VLOOKUP($A36,'liste reference'!$A$7:$P$904,3,0)),IF(ISERROR(VLOOKUP($A36,'liste reference'!$B$7:$P$904,2,0)),"",VLOOKUP($A36,'liste reference'!$B$7:$P$904,2,0)),VLOOKUP($A36,'liste reference'!$A$7:$P$904,3,0)),"")</f>
        <v>12</v>
      </c>
      <c r="J36" s="486" t="n">
        <f aca="false">IF(ISNUMBER(H36),IF(ISERROR(VLOOKUP($A36,'liste reference'!$A$7:$P$904,4,0)),IF(ISERROR(VLOOKUP($A36,'liste reference'!$B$7:$P$904,3,0)),"",VLOOKUP($A36,'liste reference'!$B$7:$P$904,3,0)),VLOOKUP($A36,'liste reference'!$A$7:$P$904,4,0)),"")</f>
        <v>2</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Cinclidotus fontinaloides</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1320</v>
      </c>
      <c r="Q36" s="491" t="n">
        <f aca="false">IF(ISTEXT(H36),"",(B36*$B$7/100)+(C36*$C$7/100))</f>
        <v>0.0035</v>
      </c>
      <c r="R36" s="492" t="n">
        <f aca="false">IF(OR(ISTEXT(H36),Q36=0),"",IF(Q36&lt;0.1,1,IF(Q36&lt;1,2,IF(Q36&lt;10,3,IF(Q36&lt;50,4,IF(Q36&gt;=50,5,""))))))</f>
        <v>1</v>
      </c>
      <c r="S36" s="492" t="n">
        <f aca="false">IF(ISERROR(R36*I36),0,R36*I36)</f>
        <v>12</v>
      </c>
      <c r="T36" s="492" t="n">
        <f aca="false">IF(ISERROR(R36*I36*J36),0,R36*I36*J36)</f>
        <v>24</v>
      </c>
      <c r="U36" s="506" t="n">
        <f aca="false">IF(ISERROR(R36*J36),0,R36*J36)</f>
        <v>2</v>
      </c>
      <c r="V36" s="493" t="n">
        <v>2</v>
      </c>
      <c r="W36" s="494"/>
      <c r="Y36" s="495" t="str">
        <f aca="false">IF(A36="new.cod","NEWCOD",IF(AND((Z36=""),ISTEXT(A36)),A36,IF(Z36="","",INDEX('liste reference'!$A$7:$A$904,Z36))))</f>
        <v>CINFON</v>
      </c>
      <c r="Z36" s="284" t="n">
        <f aca="false">IF(ISERROR(MATCH(A36,'liste reference'!$A$7:$A$904,0)),IF(ISERROR(MATCH(A36,'liste reference'!$B$7:$B$904,0)),"",(MATCH(A36,'liste reference'!$B$7:$B$904,0))),(MATCH(A36,'liste reference'!$A$7:$A$904,0)))</f>
        <v>173</v>
      </c>
      <c r="AA36" s="496"/>
      <c r="AB36" s="497"/>
      <c r="AC36" s="497"/>
      <c r="BC36" s="284" t="n">
        <f aca="false">IF(A36="","",1)</f>
        <v>1</v>
      </c>
    </row>
    <row r="37" customFormat="false" ht="12.75" hidden="false" customHeight="false" outlineLevel="0" collapsed="false">
      <c r="A37" s="498" t="s">
        <v>854</v>
      </c>
      <c r="B37" s="499"/>
      <c r="C37" s="500" t="n">
        <v>0.005</v>
      </c>
      <c r="D37" s="501" t="str">
        <f aca="false">IF(ISERROR(VLOOKUP($A37,'liste reference'!$A$7:$D$904,2,0)),IF(ISERROR(VLOOKUP($A37,'liste reference'!$B$7:$D$904,1,0)),"",VLOOKUP($A37,'liste reference'!$B$7:$D$904,1,0)),VLOOKUP($A37,'liste reference'!$A$7:$D$904,2,0))</f>
        <v>Fissidens crassipes</v>
      </c>
      <c r="E37" s="501" t="e">
        <f aca="false">IF(D37="",0,VLOOKUP(D37,D$22:D36,1,0))</f>
        <v>#N/A</v>
      </c>
      <c r="F37" s="508" t="n">
        <f aca="false">($B37*$B$7+$C37*$C$7)/100</f>
        <v>0.00325</v>
      </c>
      <c r="G37" s="503" t="str">
        <f aca="false">IF(A37="","",IF(ISERROR(VLOOKUP($A37,'liste reference'!$A$7:$P$904,13,0)),IF(ISERROR(VLOOKUP($A37,'liste reference'!$B$7:$P$904,12,0)),"    -",VLOOKUP($A37,'liste reference'!$B$7:$P$904,12,0)),VLOOKUP($A37,'liste reference'!$A$7:$P$904,13,0)))</f>
        <v>BRm</v>
      </c>
      <c r="H37" s="484" t="n">
        <f aca="false">IF(A37="","x",IF(ISERROR(VLOOKUP($A37,'liste reference'!$A$7:$P$904,14,0)),IF(ISERROR(VLOOKUP($A37,'liste reference'!$B$7:$P$904,13,0)),"x",VLOOKUP($A37,'liste reference'!$B$7:$P$904,13,0)),VLOOKUP($A37,'liste reference'!$A$7:$P$904,14,0)))</f>
        <v>5</v>
      </c>
      <c r="I37" s="504" t="n">
        <f aca="false">IF(ISNUMBER(H37),IF(ISERROR(VLOOKUP($A37,'liste reference'!$A$7:$P$904,3,0)),IF(ISERROR(VLOOKUP($A37,'liste reference'!$B$7:$P$904,2,0)),"",VLOOKUP($A37,'liste reference'!$B$7:$P$904,2,0)),VLOOKUP($A37,'liste reference'!$A$7:$P$904,3,0)),"")</f>
        <v>12</v>
      </c>
      <c r="J37" s="486" t="n">
        <f aca="false">IF(ISNUMBER(H37),IF(ISERROR(VLOOKUP($A37,'liste reference'!$A$7:$P$904,4,0)),IF(ISERROR(VLOOKUP($A37,'liste reference'!$B$7:$P$904,3,0)),"",VLOOKUP($A37,'liste reference'!$B$7:$P$904,3,0)),VLOOKUP($A37,'liste reference'!$A$7:$P$904,4,0)),"")</f>
        <v>2</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Fissidens crassipes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1294</v>
      </c>
      <c r="Q37" s="491" t="n">
        <f aca="false">IF(ISTEXT(H37),"",(B37*$B$7/100)+(C37*$C$7/100))</f>
        <v>0.00325</v>
      </c>
      <c r="R37" s="492" t="n">
        <f aca="false">IF(OR(ISTEXT(H37),Q37=0),"",IF(Q37&lt;0.1,1,IF(Q37&lt;1,2,IF(Q37&lt;10,3,IF(Q37&lt;50,4,IF(Q37&gt;=50,5,""))))))</f>
        <v>1</v>
      </c>
      <c r="S37" s="492" t="n">
        <f aca="false">IF(ISERROR(R37*I37),0,R37*I37)</f>
        <v>12</v>
      </c>
      <c r="T37" s="492" t="n">
        <f aca="false">IF(ISERROR(R37*I37*J37),0,R37*I37*J37)</f>
        <v>24</v>
      </c>
      <c r="U37" s="506" t="n">
        <f aca="false">IF(ISERROR(R37*J37),0,R37*J37)</f>
        <v>2</v>
      </c>
      <c r="V37" s="493" t="n">
        <v>2</v>
      </c>
      <c r="W37" s="494"/>
      <c r="Y37" s="495" t="str">
        <f aca="false">IF(A37="new.cod","NEWCOD",IF(AND((Z37=""),ISTEXT(A37)),A37,IF(Z37="","",INDEX('liste reference'!$A$7:$A$904,Z37))))</f>
        <v>FISCRA</v>
      </c>
      <c r="Z37" s="284" t="n">
        <f aca="false">IF(ISERROR(MATCH(A37,'liste reference'!$A$7:$A$904,0)),IF(ISERROR(MATCH(A37,'liste reference'!$B$7:$B$904,0)),"",(MATCH(A37,'liste reference'!$B$7:$B$904,0))),(MATCH(A37,'liste reference'!$A$7:$A$904,0)))</f>
        <v>198</v>
      </c>
      <c r="AA37" s="496"/>
      <c r="AB37" s="497"/>
      <c r="AC37" s="497"/>
      <c r="BC37" s="284" t="n">
        <f aca="false">IF(A37="","",1)</f>
        <v>1</v>
      </c>
    </row>
    <row r="38" customFormat="false" ht="12.75" hidden="false" customHeight="false" outlineLevel="0" collapsed="false">
      <c r="A38" s="498" t="s">
        <v>987</v>
      </c>
      <c r="B38" s="499"/>
      <c r="C38" s="500" t="n">
        <v>0.005</v>
      </c>
      <c r="D38" s="501" t="str">
        <f aca="false">IF(ISERROR(VLOOKUP($A38,'liste reference'!$A$7:$D$904,2,0)),IF(ISERROR(VLOOKUP($A38,'liste reference'!$B$7:$D$904,1,0)),"",VLOOKUP($A38,'liste reference'!$B$7:$D$904,1,0)),VLOOKUP($A38,'liste reference'!$A$7:$D$904,2,0))</f>
        <v>Plagiomnium affine</v>
      </c>
      <c r="E38" s="501" t="e">
        <f aca="false">IF(D38="",0,VLOOKUP(D38,D$22:D30,1,0))</f>
        <v>#N/A</v>
      </c>
      <c r="F38" s="508" t="n">
        <f aca="false">($B38*$B$7+$C38*$C$7)/100</f>
        <v>0.00325</v>
      </c>
      <c r="G38" s="503" t="str">
        <f aca="false">IF(A38="","",IF(ISERROR(VLOOKUP($A38,'liste reference'!$A$7:$P$904,13,0)),IF(ISERROR(VLOOKUP($A38,'liste reference'!$B$7:$P$904,12,0)),"    -",VLOOKUP($A38,'liste reference'!$B$7:$P$904,12,0)),VLOOKUP($A38,'liste reference'!$A$7:$P$904,13,0)))</f>
        <v>BRm</v>
      </c>
      <c r="H38" s="484" t="n">
        <f aca="false">IF(A38="","x",IF(ISERROR(VLOOKUP($A38,'liste reference'!$A$7:$P$904,14,0)),IF(ISERROR(VLOOKUP($A38,'liste reference'!$B$7:$P$904,13,0)),"x",VLOOKUP($A38,'liste reference'!$B$7:$P$904,13,0)),VLOOKUP($A38,'liste reference'!$A$7:$P$904,14,0)))</f>
        <v>5</v>
      </c>
      <c r="I38" s="504" t="n">
        <f aca="false">IF(ISNUMBER(H38),IF(ISERROR(VLOOKUP($A38,'liste reference'!$A$7:$P$904,3,0)),IF(ISERROR(VLOOKUP($A38,'liste reference'!$B$7:$P$904,2,0)),"",VLOOKUP($A38,'liste reference'!$B$7:$P$904,2,0)),VLOOKUP($A38,'liste reference'!$A$7:$P$904,3,0)),"")</f>
        <v>0</v>
      </c>
      <c r="J38" s="486" t="n">
        <f aca="false">IF(ISNUMBER(H38),IF(ISERROR(VLOOKUP($A38,'liste reference'!$A$7:$P$904,4,0)),IF(ISERROR(VLOOKUP($A38,'liste reference'!$B$7:$P$904,3,0)),"",VLOOKUP($A38,'liste reference'!$B$7:$P$904,3,0)),VLOOKUP($A38,'liste reference'!$A$7:$P$904,4,0)),"")</f>
        <v>0</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Plagiomnium affine</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19916</v>
      </c>
      <c r="Q38" s="491" t="n">
        <f aca="false">IF(ISTEXT(H38),"",(B38*$B$7/100)+(C38*$C$7/100))</f>
        <v>0.00325</v>
      </c>
      <c r="R38" s="492" t="n">
        <f aca="false">IF(OR(ISTEXT(H38),Q38=0),"",IF(Q38&lt;0.1,1,IF(Q38&lt;1,2,IF(Q38&lt;10,3,IF(Q38&lt;50,4,IF(Q38&gt;=50,5,""))))))</f>
        <v>1</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PLIAFF</v>
      </c>
      <c r="Z38" s="284" t="n">
        <f aca="false">IF(ISERROR(MATCH(A38,'liste reference'!$A$7:$A$904,0)),IF(ISERROR(MATCH(A38,'liste reference'!$B$7:$B$904,0)),"",(MATCH(A38,'liste reference'!$B$7:$B$904,0))),(MATCH(A38,'liste reference'!$A$7:$A$904,0)))</f>
        <v>235</v>
      </c>
      <c r="AA38" s="496"/>
      <c r="AB38" s="497"/>
      <c r="AC38" s="497"/>
      <c r="BC38" s="284" t="n">
        <f aca="false">IF(A38="","",1)</f>
        <v>1</v>
      </c>
    </row>
    <row r="39" customFormat="false" ht="12.75" hidden="false" customHeight="false" outlineLevel="0" collapsed="false">
      <c r="A39" s="498" t="s">
        <v>1058</v>
      </c>
      <c r="B39" s="499" t="n">
        <v>0.005</v>
      </c>
      <c r="C39" s="500"/>
      <c r="D39" s="501" t="str">
        <f aca="false">IF(ISERROR(VLOOKUP($A39,'liste reference'!$A$7:$D$904,2,0)),IF(ISERROR(VLOOKUP($A39,'liste reference'!$B$7:$D$904,1,0)),"",VLOOKUP($A39,'liste reference'!$B$7:$D$904,1,0)),VLOOKUP($A39,'liste reference'!$A$7:$D$904,2,0))</f>
        <v>Rhynchostegium riparioides</v>
      </c>
      <c r="E39" s="501" t="e">
        <f aca="false">IF(D39="",0,VLOOKUP(D39,D$22:D38,1,0))</f>
        <v>#N/A</v>
      </c>
      <c r="F39" s="508" t="n">
        <f aca="false">($B39*$B$7+$C39*$C$7)/100</f>
        <v>0.00175</v>
      </c>
      <c r="G39" s="503" t="str">
        <f aca="false">IF(A39="","",IF(ISERROR(VLOOKUP($A39,'liste reference'!$A$7:$P$904,13,0)),IF(ISERROR(VLOOKUP($A39,'liste reference'!$B$7:$P$904,12,0)),"    -",VLOOKUP($A39,'liste reference'!$B$7:$P$904,12,0)),VLOOKUP($A39,'liste reference'!$A$7:$P$904,13,0)))</f>
        <v>BRm</v>
      </c>
      <c r="H39" s="484" t="n">
        <f aca="false">IF(A39="","x",IF(ISERROR(VLOOKUP($A39,'liste reference'!$A$7:$P$904,14,0)),IF(ISERROR(VLOOKUP($A39,'liste reference'!$B$7:$P$904,13,0)),"x",VLOOKUP($A39,'liste reference'!$B$7:$P$904,13,0)),VLOOKUP($A39,'liste reference'!$A$7:$P$904,14,0)))</f>
        <v>5</v>
      </c>
      <c r="I39" s="504" t="n">
        <f aca="false">IF(ISNUMBER(H39),IF(ISERROR(VLOOKUP($A39,'liste reference'!$A$7:$P$904,3,0)),IF(ISERROR(VLOOKUP($A39,'liste reference'!$B$7:$P$904,2,0)),"",VLOOKUP($A39,'liste reference'!$B$7:$P$904,2,0)),VLOOKUP($A39,'liste reference'!$A$7:$P$904,3,0)),"")</f>
        <v>12</v>
      </c>
      <c r="J39" s="486" t="n">
        <f aca="false">IF(ISNUMBER(H39),IF(ISERROR(VLOOKUP($A39,'liste reference'!$A$7:$P$904,4,0)),IF(ISERROR(VLOOKUP($A39,'liste reference'!$B$7:$P$904,3,0)),"",VLOOKUP($A39,'liste reference'!$B$7:$P$904,3,0)),VLOOKUP($A39,'liste reference'!$A$7:$P$904,4,0)),"")</f>
        <v>1</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Rhynchostegium riparioides</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1268</v>
      </c>
      <c r="Q39" s="491" t="n">
        <f aca="false">IF(ISTEXT(H39),"",(B39*$B$7/100)+(C39*$C$7/100))</f>
        <v>0.00175</v>
      </c>
      <c r="R39" s="492" t="n">
        <f aca="false">IF(OR(ISTEXT(H39),Q39=0),"",IF(Q39&lt;0.1,1,IF(Q39&lt;1,2,IF(Q39&lt;10,3,IF(Q39&lt;50,4,IF(Q39&gt;=50,5,""))))))</f>
        <v>1</v>
      </c>
      <c r="S39" s="492" t="n">
        <f aca="false">IF(ISERROR(R39*I39),0,R39*I39)</f>
        <v>12</v>
      </c>
      <c r="T39" s="492" t="n">
        <f aca="false">IF(ISERROR(R39*I39*J39),0,R39*I39*J39)</f>
        <v>12</v>
      </c>
      <c r="U39" s="506" t="n">
        <f aca="false">IF(ISERROR(R39*J39),0,R39*J39)</f>
        <v>1</v>
      </c>
      <c r="V39" s="493" t="n">
        <v>1</v>
      </c>
      <c r="W39" s="494"/>
      <c r="Y39" s="495" t="str">
        <f aca="false">IF(A39="new.cod","NEWCOD",IF(AND((Z39=""),ISTEXT(A39)),A39,IF(Z39="","",INDEX('liste reference'!$A$7:$A$904,Z39))))</f>
        <v>RHYRIP</v>
      </c>
      <c r="Z39" s="284" t="n">
        <f aca="false">IF(ISERROR(MATCH(A39,'liste reference'!$A$7:$A$904,0)),IF(ISERROR(MATCH(A39,'liste reference'!$B$7:$B$904,0)),"",(MATCH(A39,'liste reference'!$B$7:$B$904,0))),(MATCH(A39,'liste reference'!$A$7:$A$904,0)))</f>
        <v>253</v>
      </c>
      <c r="AA39" s="496"/>
      <c r="AB39" s="497"/>
      <c r="AC39" s="497"/>
      <c r="BC39" s="284" t="n">
        <f aca="false">IF(A39="","",1)</f>
        <v>1</v>
      </c>
    </row>
    <row r="40" customFormat="false" ht="12.75" hidden="false" customHeight="false" outlineLevel="0" collapsed="false">
      <c r="A40" s="498" t="s">
        <v>1157</v>
      </c>
      <c r="B40" s="499" t="n">
        <v>0.01</v>
      </c>
      <c r="C40" s="500" t="n">
        <v>0.005</v>
      </c>
      <c r="D40" s="501" t="str">
        <f aca="false">IF(ISERROR(VLOOKUP($A40,'liste reference'!$A$7:$D$904,2,0)),IF(ISERROR(VLOOKUP($A40,'liste reference'!$B$7:$D$904,1,0)),"",VLOOKUP($A40,'liste reference'!$B$7:$D$904,1,0)),VLOOKUP($A40,'liste reference'!$A$7:$D$904,2,0))</f>
        <v>Equisetum arvense</v>
      </c>
      <c r="E40" s="501" t="e">
        <f aca="false">IF(D40="",0,VLOOKUP(D40,D$22:D39,1,0))</f>
        <v>#N/A</v>
      </c>
      <c r="F40" s="508" t="n">
        <f aca="false">($B40*$B$7+$C40*$C$7)/100</f>
        <v>0.00675</v>
      </c>
      <c r="G40" s="503" t="str">
        <f aca="false">IF(A40="","",IF(ISERROR(VLOOKUP($A40,'liste reference'!$A$7:$P$904,13,0)),IF(ISERROR(VLOOKUP($A40,'liste reference'!$B$7:$P$904,12,0)),"    -",VLOOKUP($A40,'liste reference'!$B$7:$P$904,12,0)),VLOOKUP($A40,'liste reference'!$A$7:$P$904,13,0)))</f>
        <v>PTE</v>
      </c>
      <c r="H40" s="484" t="n">
        <f aca="false">IF(A40="","x",IF(ISERROR(VLOOKUP($A40,'liste reference'!$A$7:$P$904,14,0)),IF(ISERROR(VLOOKUP($A40,'liste reference'!$B$7:$P$904,13,0)),"x",VLOOKUP($A40,'liste reference'!$B$7:$P$904,13,0)),VLOOKUP($A40,'liste reference'!$A$7:$P$904,14,0)))</f>
        <v>6</v>
      </c>
      <c r="I40" s="504" t="n">
        <f aca="false">IF(ISNUMBER(H40),IF(ISERROR(VLOOKUP($A40,'liste reference'!$A$7:$P$904,3,0)),IF(ISERROR(VLOOKUP($A40,'liste reference'!$B$7:$P$904,2,0)),"",VLOOKUP($A40,'liste reference'!$B$7:$P$904,2,0)),VLOOKUP($A40,'liste reference'!$A$7:$P$904,3,0)),"")</f>
        <v>0</v>
      </c>
      <c r="J40" s="486" t="n">
        <f aca="false">IF(ISNUMBER(H40),IF(ISERROR(VLOOKUP($A40,'liste reference'!$A$7:$P$904,4,0)),IF(ISERROR(VLOOKUP($A40,'liste reference'!$B$7:$P$904,3,0)),"",VLOOKUP($A40,'liste reference'!$B$7:$P$904,3,0)),VLOOKUP($A40,'liste reference'!$A$7:$P$904,4,0)),"")</f>
        <v>0</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Equisetum arvense</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1384</v>
      </c>
      <c r="Q40" s="491" t="n">
        <f aca="false">IF(ISTEXT(H40),"",(B40*$B$7/100)+(C40*$C$7/100))</f>
        <v>0.00675</v>
      </c>
      <c r="R40" s="492" t="n">
        <f aca="false">IF(OR(ISTEXT(H40),Q40=0),"",IF(Q40&lt;0.1,1,IF(Q40&lt;1,2,IF(Q40&lt;10,3,IF(Q40&lt;50,4,IF(Q40&gt;=50,5,""))))))</f>
        <v>1</v>
      </c>
      <c r="S40" s="492" t="n">
        <f aca="false">IF(ISERROR(R40*I40),0,R40*I40)</f>
        <v>0</v>
      </c>
      <c r="T40" s="492" t="n">
        <f aca="false">IF(ISERROR(R40*I40*J40),0,R40*I40*J40)</f>
        <v>0</v>
      </c>
      <c r="U40" s="506" t="n">
        <f aca="false">IF(ISERROR(R40*J40),0,R40*J40)</f>
        <v>0</v>
      </c>
      <c r="V40" s="493" t="n">
        <v>0</v>
      </c>
      <c r="W40" s="507"/>
      <c r="Y40" s="495" t="str">
        <f aca="false">IF(A40="new.cod","NEWCOD",IF(AND((Z40=""),ISTEXT(A40)),A40,IF(Z40="","",INDEX('liste reference'!$A$7:$A$904,Z40))))</f>
        <v>EQUARV</v>
      </c>
      <c r="Z40" s="284" t="n">
        <f aca="false">IF(ISERROR(MATCH(A40,'liste reference'!$A$7:$A$904,0)),IF(ISERROR(MATCH(A40,'liste reference'!$B$7:$B$904,0)),"",(MATCH(A40,'liste reference'!$B$7:$B$904,0))),(MATCH(A40,'liste reference'!$A$7:$A$904,0)))</f>
        <v>279</v>
      </c>
      <c r="AA40" s="496"/>
      <c r="AB40" s="497"/>
      <c r="AC40" s="497"/>
      <c r="BC40" s="284" t="n">
        <f aca="false">IF(A40="","",1)</f>
        <v>1</v>
      </c>
    </row>
    <row r="41" customFormat="false" ht="12.75" hidden="false" customHeight="false" outlineLevel="0" collapsed="false">
      <c r="A41" s="498" t="s">
        <v>1228</v>
      </c>
      <c r="B41" s="499" t="n">
        <v>0.3</v>
      </c>
      <c r="C41" s="500" t="n">
        <v>0.005</v>
      </c>
      <c r="D41" s="501" t="str">
        <f aca="false">IF(ISERROR(VLOOKUP($A41,'liste reference'!$A$7:$D$904,2,0)),IF(ISERROR(VLOOKUP($A41,'liste reference'!$B$7:$D$904,1,0)),"",VLOOKUP($A41,'liste reference'!$B$7:$D$904,1,0)),VLOOKUP($A41,'liste reference'!$A$7:$D$904,2,0))</f>
        <v>Apium nodiflorum</v>
      </c>
      <c r="E41" s="501" t="e">
        <f aca="false">IF(D41="",0,VLOOKUP(D41,D$22:D40,1,0))</f>
        <v>#N/A</v>
      </c>
      <c r="F41" s="508" t="n">
        <f aca="false">($B41*$B$7+$C41*$C$7)/100</f>
        <v>0.10825</v>
      </c>
      <c r="G41" s="503" t="str">
        <f aca="false">IF(A41="","",IF(ISERROR(VLOOKUP($A41,'liste reference'!$A$7:$P$904,13,0)),IF(ISERROR(VLOOKUP($A41,'liste reference'!$B$7:$P$904,12,0)),"    -",VLOOKUP($A41,'liste reference'!$B$7:$P$904,12,0)),VLOOKUP($A41,'liste reference'!$A$7:$P$904,13,0)))</f>
        <v>PHy</v>
      </c>
      <c r="H41" s="484" t="n">
        <f aca="false">IF(A41="","x",IF(ISERROR(VLOOKUP($A41,'liste reference'!$A$7:$P$904,14,0)),IF(ISERROR(VLOOKUP($A41,'liste reference'!$B$7:$P$904,13,0)),"x",VLOOKUP($A41,'liste reference'!$B$7:$P$904,13,0)),VLOOKUP($A41,'liste reference'!$A$7:$P$904,14,0)))</f>
        <v>7</v>
      </c>
      <c r="I41" s="504" t="n">
        <f aca="false">IF(ISNUMBER(H41),IF(ISERROR(VLOOKUP($A41,'liste reference'!$A$7:$P$904,3,0)),IF(ISERROR(VLOOKUP($A41,'liste reference'!$B$7:$P$904,2,0)),"",VLOOKUP($A41,'liste reference'!$B$7:$P$904,2,0)),VLOOKUP($A41,'liste reference'!$A$7:$P$904,3,0)),"")</f>
        <v>10</v>
      </c>
      <c r="J41" s="486" t="n">
        <f aca="false">IF(ISNUMBER(H41),IF(ISERROR(VLOOKUP($A41,'liste reference'!$A$7:$P$904,4,0)),IF(ISERROR(VLOOKUP($A41,'liste reference'!$B$7:$P$904,3,0)),"",VLOOKUP($A41,'liste reference'!$B$7:$P$904,3,0)),VLOOKUP($A41,'liste reference'!$A$7:$P$904,4,0)),"")</f>
        <v>1</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Apium nodiflorum</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1974</v>
      </c>
      <c r="Q41" s="491" t="n">
        <f aca="false">IF(ISTEXT(H41),"",(B41*$B$7/100)+(C41*$C$7/100))</f>
        <v>0.10825</v>
      </c>
      <c r="R41" s="492" t="n">
        <f aca="false">IF(OR(ISTEXT(H41),Q41=0),"",IF(Q41&lt;0.1,1,IF(Q41&lt;1,2,IF(Q41&lt;10,3,IF(Q41&lt;50,4,IF(Q41&gt;=50,5,""))))))</f>
        <v>2</v>
      </c>
      <c r="S41" s="492" t="n">
        <f aca="false">IF(ISERROR(R41*I41),0,R41*I41)</f>
        <v>20</v>
      </c>
      <c r="T41" s="492" t="n">
        <f aca="false">IF(ISERROR(R41*I41*J41),0,R41*I41*J41)</f>
        <v>20</v>
      </c>
      <c r="U41" s="506" t="n">
        <f aca="false">IF(ISERROR(R41*J41),0,R41*J41)</f>
        <v>2</v>
      </c>
      <c r="V41" s="493" t="n">
        <v>2</v>
      </c>
      <c r="W41" s="494"/>
      <c r="Y41" s="495" t="str">
        <f aca="false">IF(A41="new.cod","NEWCOD",IF(AND((Z41=""),ISTEXT(A41)),A41,IF(Z41="","",INDEX('liste reference'!$A$7:$A$904,Z41))))</f>
        <v>APINOD</v>
      </c>
      <c r="Z41" s="284" t="n">
        <f aca="false">IF(ISERROR(MATCH(A41,'liste reference'!$A$7:$A$904,0)),IF(ISERROR(MATCH(A41,'liste reference'!$B$7:$B$904,0)),"",(MATCH(A41,'liste reference'!$B$7:$B$904,0))),(MATCH(A41,'liste reference'!$A$7:$A$904,0)))</f>
        <v>310</v>
      </c>
      <c r="AA41" s="496"/>
      <c r="AB41" s="497"/>
      <c r="AC41" s="497"/>
      <c r="BC41" s="284" t="n">
        <f aca="false">IF(A41="","",1)</f>
        <v>1</v>
      </c>
    </row>
    <row r="42" customFormat="false" ht="12.75" hidden="false" customHeight="false" outlineLevel="0" collapsed="false">
      <c r="A42" s="498" t="s">
        <v>1734</v>
      </c>
      <c r="B42" s="499"/>
      <c r="C42" s="500" t="n">
        <v>0.005</v>
      </c>
      <c r="D42" s="501" t="str">
        <f aca="false">IF(ISERROR(VLOOKUP($A42,'liste reference'!$A$7:$D$904,2,0)),IF(ISERROR(VLOOKUP($A42,'liste reference'!$B$7:$D$904,1,0)),"",VLOOKUP($A42,'liste reference'!$B$7:$D$904,1,0)),VLOOKUP($A42,'liste reference'!$A$7:$D$904,2,0))</f>
        <v>Alisma plantago-aquatica</v>
      </c>
      <c r="E42" s="501" t="e">
        <f aca="false">IF(D42="",0,VLOOKUP(D42,D$22:D34,1,0))</f>
        <v>#N/A</v>
      </c>
      <c r="F42" s="508" t="n">
        <f aca="false">($B42*$B$7+$C42*$C$7)/100</f>
        <v>0.00325</v>
      </c>
      <c r="G42" s="503" t="str">
        <f aca="false">IF(A42="","",IF(ISERROR(VLOOKUP($A42,'liste reference'!$A$7:$P$904,13,0)),IF(ISERROR(VLOOKUP($A42,'liste reference'!$B$7:$P$904,12,0)),"    -",VLOOKUP($A42,'liste reference'!$B$7:$P$904,12,0)),VLOOKUP($A42,'liste reference'!$A$7:$P$904,13,0)))</f>
        <v>PHe</v>
      </c>
      <c r="H42" s="484" t="n">
        <f aca="false">IF(A42="","x",IF(ISERROR(VLOOKUP($A42,'liste reference'!$A$7:$P$904,14,0)),IF(ISERROR(VLOOKUP($A42,'liste reference'!$B$7:$P$904,13,0)),"x",VLOOKUP($A42,'liste reference'!$B$7:$P$904,13,0)),VLOOKUP($A42,'liste reference'!$A$7:$P$904,14,0)))</f>
        <v>8</v>
      </c>
      <c r="I42" s="504" t="n">
        <f aca="false">IF(ISNUMBER(H42),IF(ISERROR(VLOOKUP($A42,'liste reference'!$A$7:$P$904,3,0)),IF(ISERROR(VLOOKUP($A42,'liste reference'!$B$7:$P$904,2,0)),"",VLOOKUP($A42,'liste reference'!$B$7:$P$904,2,0)),VLOOKUP($A42,'liste reference'!$A$7:$P$904,3,0)),"")</f>
        <v>8</v>
      </c>
      <c r="J42" s="486" t="n">
        <f aca="false">IF(ISNUMBER(H42),IF(ISERROR(VLOOKUP($A42,'liste reference'!$A$7:$P$904,4,0)),IF(ISERROR(VLOOKUP($A42,'liste reference'!$B$7:$P$904,3,0)),"",VLOOKUP($A42,'liste reference'!$B$7:$P$904,3,0)),VLOOKUP($A42,'liste reference'!$A$7:$P$904,4,0)),"")</f>
        <v>2</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Alisma plantago-aquatica</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1447</v>
      </c>
      <c r="Q42" s="491" t="n">
        <f aca="false">IF(ISTEXT(H42),"",(B42*$B$7/100)+(C42*$C$7/100))</f>
        <v>0.00325</v>
      </c>
      <c r="R42" s="492" t="n">
        <f aca="false">IF(OR(ISTEXT(H42),Q42=0),"",IF(Q42&lt;0.1,1,IF(Q42&lt;1,2,IF(Q42&lt;10,3,IF(Q42&lt;50,4,IF(Q42&gt;=50,5,""))))))</f>
        <v>1</v>
      </c>
      <c r="S42" s="492" t="n">
        <f aca="false">IF(ISERROR(R42*I42),0,R42*I42)</f>
        <v>8</v>
      </c>
      <c r="T42" s="492" t="n">
        <f aca="false">IF(ISERROR(R42*I42*J42),0,R42*I42*J42)</f>
        <v>16</v>
      </c>
      <c r="U42" s="506" t="n">
        <f aca="false">IF(ISERROR(R42*J42),0,R42*J42)</f>
        <v>2</v>
      </c>
      <c r="V42" s="493" t="n">
        <v>2</v>
      </c>
      <c r="W42" s="494"/>
      <c r="Y42" s="495" t="str">
        <f aca="false">IF(A42="new.cod","NEWCOD",IF(AND((Z42=""),ISTEXT(A42)),A42,IF(Z42="","",INDEX('liste reference'!$A$7:$A$904,Z42))))</f>
        <v>ALIPLA</v>
      </c>
      <c r="Z42" s="284" t="n">
        <f aca="false">IF(ISERROR(MATCH(A42,'liste reference'!$A$7:$A$904,0)),IF(ISERROR(MATCH(A42,'liste reference'!$B$7:$B$904,0)),"",(MATCH(A42,'liste reference'!$B$7:$B$904,0))),(MATCH(A42,'liste reference'!$A$7:$A$904,0)))</f>
        <v>523</v>
      </c>
      <c r="AA42" s="496" t="s">
        <v>2722</v>
      </c>
      <c r="AB42" s="497"/>
      <c r="AC42" s="497"/>
      <c r="BC42" s="284" t="n">
        <f aca="false">IF(A42="","",1)</f>
        <v>1</v>
      </c>
    </row>
    <row r="43" customFormat="false" ht="12.75" hidden="false" customHeight="false" outlineLevel="0" collapsed="false">
      <c r="A43" s="498" t="s">
        <v>1796</v>
      </c>
      <c r="B43" s="499"/>
      <c r="C43" s="500" t="n">
        <v>0.03</v>
      </c>
      <c r="D43" s="501" t="str">
        <f aca="false">IF(ISERROR(VLOOKUP($A43,'liste reference'!$A$7:$D$904,2,0)),IF(ISERROR(VLOOKUP($A43,'liste reference'!$B$7:$D$904,1,0)),"",VLOOKUP($A43,'liste reference'!$B$7:$D$904,1,0)),VLOOKUP($A43,'liste reference'!$A$7:$D$904,2,0))</f>
        <v>Carex pendula</v>
      </c>
      <c r="E43" s="501" t="e">
        <f aca="false">IF(D43="",0,VLOOKUP(D43,D$22:D42,1,0))</f>
        <v>#N/A</v>
      </c>
      <c r="F43" s="508" t="n">
        <f aca="false">($B43*$B$7+$C43*$C$7)/100</f>
        <v>0.0195</v>
      </c>
      <c r="G43" s="503" t="str">
        <f aca="false">IF(A43="","",IF(ISERROR(VLOOKUP($A43,'liste reference'!$A$7:$P$904,13,0)),IF(ISERROR(VLOOKUP($A43,'liste reference'!$B$7:$P$904,12,0)),"    -",VLOOKUP($A43,'liste reference'!$B$7:$P$904,12,0)),VLOOKUP($A43,'liste reference'!$A$7:$P$904,13,0)))</f>
        <v>PHe</v>
      </c>
      <c r="H43" s="484" t="n">
        <f aca="false">IF(A43="","x",IF(ISERROR(VLOOKUP($A43,'liste reference'!$A$7:$P$904,14,0)),IF(ISERROR(VLOOKUP($A43,'liste reference'!$B$7:$P$904,13,0)),"x",VLOOKUP($A43,'liste reference'!$B$7:$P$904,13,0)),VLOOKUP($A43,'liste reference'!$A$7:$P$904,14,0)))</f>
        <v>8</v>
      </c>
      <c r="I43" s="504" t="n">
        <f aca="false">IF(ISNUMBER(H43),IF(ISERROR(VLOOKUP($A43,'liste reference'!$A$7:$P$904,3,0)),IF(ISERROR(VLOOKUP($A43,'liste reference'!$B$7:$P$904,2,0)),"",VLOOKUP($A43,'liste reference'!$B$7:$P$904,2,0)),VLOOKUP($A43,'liste reference'!$A$7:$P$904,3,0)),"")</f>
        <v>0</v>
      </c>
      <c r="J43" s="486" t="n">
        <f aca="false">IF(ISNUMBER(H43),IF(ISERROR(VLOOKUP($A43,'liste reference'!$A$7:$P$904,4,0)),IF(ISERROR(VLOOKUP($A43,'liste reference'!$B$7:$P$904,3,0)),"",VLOOKUP($A43,'liste reference'!$B$7:$P$904,3,0)),VLOOKUP($A43,'liste reference'!$A$7:$P$904,4,0)),"")</f>
        <v>0</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Carex pendula</v>
      </c>
      <c r="L43" s="505"/>
      <c r="M43" s="505"/>
      <c r="N43" s="505"/>
      <c r="O43" s="489"/>
      <c r="P43" s="490" t="n">
        <f aca="false">IF($A43="NEWCOD",IF($AC43="","No",$AC43),IF(ISTEXT($E43),"DEJA SAISI !",IF($A43="","",IF(ISERROR(VLOOKUP($A43,'liste reference'!A:S,19,FALSE())),IF(ISERROR(VLOOKUP($A43,'liste reference'!B:S,19,FALSE())),"",VLOOKUP($A43,'liste reference'!B:S,19,FALSE())),VLOOKUP($A43,'liste reference'!A:S,19,FALSE())))))</f>
        <v>1485</v>
      </c>
      <c r="Q43" s="491" t="n">
        <f aca="false">IF(ISTEXT(H43),"",(B43*$B$7/100)+(C43*$C$7/100))</f>
        <v>0.0195</v>
      </c>
      <c r="R43" s="492" t="n">
        <f aca="false">IF(OR(ISTEXT(H43),Q43=0),"",IF(Q43&lt;0.1,1,IF(Q43&lt;1,2,IF(Q43&lt;10,3,IF(Q43&lt;50,4,IF(Q43&gt;=50,5,""))))))</f>
        <v>1</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CARPEN</v>
      </c>
      <c r="Z43" s="284" t="n">
        <f aca="false">IF(ISERROR(MATCH(A43,'liste reference'!$A$7:$A$904,0)),IF(ISERROR(MATCH(A43,'liste reference'!$B$7:$B$904,0)),"",(MATCH(A43,'liste reference'!$B$7:$B$904,0))),(MATCH(A43,'liste reference'!$A$7:$A$904,0)))</f>
        <v>547</v>
      </c>
      <c r="AA43" s="496"/>
      <c r="AB43" s="497"/>
      <c r="AC43" s="497"/>
      <c r="BC43" s="284" t="n">
        <f aca="false">IF(A43="","",1)</f>
        <v>1</v>
      </c>
    </row>
    <row r="44" customFormat="false" ht="12.75" hidden="false" customHeight="false" outlineLevel="0" collapsed="false">
      <c r="A44" s="498" t="s">
        <v>1927</v>
      </c>
      <c r="B44" s="499" t="n">
        <v>0.01</v>
      </c>
      <c r="C44" s="500" t="n">
        <v>0.005</v>
      </c>
      <c r="D44" s="501" t="str">
        <f aca="false">IF(ISERROR(VLOOKUP($A44,'liste reference'!$A$7:$D$904,2,0)),IF(ISERROR(VLOOKUP($A44,'liste reference'!$B$7:$D$904,1,0)),"",VLOOKUP($A44,'liste reference'!$B$7:$D$904,1,0)),VLOOKUP($A44,'liste reference'!$A$7:$D$904,2,0))</f>
        <v>Lycopus europaeus</v>
      </c>
      <c r="E44" s="501" t="e">
        <f aca="false">IF(D44="",0,VLOOKUP(D44,D$22:D43,1,0))</f>
        <v>#N/A</v>
      </c>
      <c r="F44" s="508" t="n">
        <f aca="false">($B44*$B$7+$C44*$C$7)/100</f>
        <v>0.00675</v>
      </c>
      <c r="G44" s="503" t="str">
        <f aca="false">IF(A44="","",IF(ISERROR(VLOOKUP($A44,'liste reference'!$A$7:$P$904,13,0)),IF(ISERROR(VLOOKUP($A44,'liste reference'!$B$7:$P$904,12,0)),"    -",VLOOKUP($A44,'liste reference'!$B$7:$P$904,12,0)),VLOOKUP($A44,'liste reference'!$A$7:$P$904,13,0)))</f>
        <v>PHe</v>
      </c>
      <c r="H44" s="484" t="n">
        <f aca="false">IF(A44="","x",IF(ISERROR(VLOOKUP($A44,'liste reference'!$A$7:$P$904,14,0)),IF(ISERROR(VLOOKUP($A44,'liste reference'!$B$7:$P$904,13,0)),"x",VLOOKUP($A44,'liste reference'!$B$7:$P$904,13,0)),VLOOKUP($A44,'liste reference'!$A$7:$P$904,14,0)))</f>
        <v>8</v>
      </c>
      <c r="I44" s="504" t="n">
        <f aca="false">IF(ISNUMBER(H44),IF(ISERROR(VLOOKUP($A44,'liste reference'!$A$7:$P$904,3,0)),IF(ISERROR(VLOOKUP($A44,'liste reference'!$B$7:$P$904,2,0)),"",VLOOKUP($A44,'liste reference'!$B$7:$P$904,2,0)),VLOOKUP($A44,'liste reference'!$A$7:$P$904,3,0)),"")</f>
        <v>11</v>
      </c>
      <c r="J44" s="486" t="n">
        <f aca="false">IF(ISNUMBER(H44),IF(ISERROR(VLOOKUP($A44,'liste reference'!$A$7:$P$904,4,0)),IF(ISERROR(VLOOKUP($A44,'liste reference'!$B$7:$P$904,3,0)),"",VLOOKUP($A44,'liste reference'!$B$7:$P$904,3,0)),VLOOKUP($A44,'liste reference'!$A$7:$P$904,4,0)),"")</f>
        <v>1</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Lycopus europaeus</v>
      </c>
      <c r="L44" s="505"/>
      <c r="M44" s="505"/>
      <c r="N44" s="505"/>
      <c r="O44" s="489"/>
      <c r="P44" s="490" t="n">
        <f aca="false">IF($A44="NEWCOD",IF($AC44="","No",$AC44),IF(ISTEXT($E44),"DEJA SAISI !",IF($A44="","",IF(ISERROR(VLOOKUP($A44,'liste reference'!A:S,19,FALSE())),IF(ISERROR(VLOOKUP($A44,'liste reference'!B:S,19,FALSE())),"",VLOOKUP($A44,'liste reference'!B:S,19,FALSE())),VLOOKUP($A44,'liste reference'!A:S,19,FALSE())))))</f>
        <v>1789</v>
      </c>
      <c r="Q44" s="491" t="n">
        <f aca="false">IF(ISTEXT(H44),"",(B44*$B$7/100)+(C44*$C$7/100))</f>
        <v>0.00675</v>
      </c>
      <c r="R44" s="492" t="n">
        <f aca="false">IF(OR(ISTEXT(H44),Q44=0),"",IF(Q44&lt;0.1,1,IF(Q44&lt;1,2,IF(Q44&lt;10,3,IF(Q44&lt;50,4,IF(Q44&gt;=50,5,""))))))</f>
        <v>1</v>
      </c>
      <c r="S44" s="492" t="n">
        <f aca="false">IF(ISERROR(R44*I44),0,R44*I44)</f>
        <v>11</v>
      </c>
      <c r="T44" s="492" t="n">
        <f aca="false">IF(ISERROR(R44*I44*J44),0,R44*I44*J44)</f>
        <v>11</v>
      </c>
      <c r="U44" s="506" t="n">
        <f aca="false">IF(ISERROR(R44*J44),0,R44*J44)</f>
        <v>1</v>
      </c>
      <c r="V44" s="493" t="n">
        <v>1</v>
      </c>
      <c r="W44" s="494"/>
      <c r="Y44" s="495" t="str">
        <f aca="false">IF(A44="new.cod","NEWCOD",IF(AND((Z44=""),ISTEXT(A44)),A44,IF(Z44="","",INDEX('liste reference'!$A$7:$A$904,Z44))))</f>
        <v>LYCEUR</v>
      </c>
      <c r="Z44" s="284" t="n">
        <f aca="false">IF(ISERROR(MATCH(A44,'liste reference'!$A$7:$A$904,0)),IF(ISERROR(MATCH(A44,'liste reference'!$B$7:$B$904,0)),"",(MATCH(A44,'liste reference'!$B$7:$B$904,0))),(MATCH(A44,'liste reference'!$A$7:$A$904,0)))</f>
        <v>602</v>
      </c>
      <c r="AA44" s="496"/>
      <c r="AB44" s="497"/>
      <c r="AC44" s="497"/>
      <c r="BC44" s="284" t="n">
        <f aca="false">IF(A44="","",1)</f>
        <v>1</v>
      </c>
    </row>
    <row r="45" customFormat="false" ht="12.75" hidden="false" customHeight="false" outlineLevel="0" collapsed="false">
      <c r="A45" s="498" t="s">
        <v>1937</v>
      </c>
      <c r="B45" s="499" t="n">
        <v>0.03</v>
      </c>
      <c r="C45" s="500" t="n">
        <v>0.01</v>
      </c>
      <c r="D45" s="501" t="str">
        <f aca="false">IF(ISERROR(VLOOKUP($A45,'liste reference'!$A$7:$D$904,2,0)),IF(ISERROR(VLOOKUP($A45,'liste reference'!$B$7:$D$904,1,0)),"",VLOOKUP($A45,'liste reference'!$B$7:$D$904,1,0)),VLOOKUP($A45,'liste reference'!$A$7:$D$904,2,0))</f>
        <v>Lysimachia vulgaris</v>
      </c>
      <c r="E45" s="501" t="e">
        <f aca="false">IF(D45="",0,VLOOKUP(D45,D$22:D44,1,0))</f>
        <v>#N/A</v>
      </c>
      <c r="F45" s="508" t="n">
        <f aca="false">($B45*$B$7+$C45*$C$7)/100</f>
        <v>0.017</v>
      </c>
      <c r="G45" s="503" t="str">
        <f aca="false">IF(A45="","",IF(ISERROR(VLOOKUP($A45,'liste reference'!$A$7:$P$904,13,0)),IF(ISERROR(VLOOKUP($A45,'liste reference'!$B$7:$P$904,12,0)),"    -",VLOOKUP($A45,'liste reference'!$B$7:$P$904,12,0)),VLOOKUP($A45,'liste reference'!$A$7:$P$904,13,0)))</f>
        <v>PHe</v>
      </c>
      <c r="H45" s="484" t="n">
        <f aca="false">IF(A45="","x",IF(ISERROR(VLOOKUP($A45,'liste reference'!$A$7:$P$904,14,0)),IF(ISERROR(VLOOKUP($A45,'liste reference'!$B$7:$P$904,13,0)),"x",VLOOKUP($A45,'liste reference'!$B$7:$P$904,13,0)),VLOOKUP($A45,'liste reference'!$A$7:$P$904,14,0)))</f>
        <v>8</v>
      </c>
      <c r="I45" s="504" t="n">
        <f aca="false">IF(ISNUMBER(H45),IF(ISERROR(VLOOKUP($A45,'liste reference'!$A$7:$P$904,3,0)),IF(ISERROR(VLOOKUP($A45,'liste reference'!$B$7:$P$904,2,0)),"",VLOOKUP($A45,'liste reference'!$B$7:$P$904,2,0)),VLOOKUP($A45,'liste reference'!$A$7:$P$904,3,0)),"")</f>
        <v>0</v>
      </c>
      <c r="J45" s="486" t="n">
        <f aca="false">IF(ISNUMBER(H45),IF(ISERROR(VLOOKUP($A45,'liste reference'!$A$7:$P$904,4,0)),IF(ISERROR(VLOOKUP($A45,'liste reference'!$B$7:$P$904,3,0)),"",VLOOKUP($A45,'liste reference'!$B$7:$P$904,3,0)),VLOOKUP($A45,'liste reference'!$A$7:$P$904,4,0)),"")</f>
        <v>0</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Lysimachia vulgaris</v>
      </c>
      <c r="L45" s="505"/>
      <c r="M45" s="505"/>
      <c r="N45" s="505"/>
      <c r="O45" s="489"/>
      <c r="P45" s="490" t="n">
        <f aca="false">IF($A45="NEWCOD",IF($AC45="","No",$AC45),IF(ISTEXT($E45),"DEJA SAISI !",IF($A45="","",IF(ISERROR(VLOOKUP($A45,'liste reference'!A:S,19,FALSE())),IF(ISERROR(VLOOKUP($A45,'liste reference'!B:S,19,FALSE())),"",VLOOKUP($A45,'liste reference'!B:S,19,FALSE())),VLOOKUP($A45,'liste reference'!A:S,19,FALSE())))))</f>
        <v>1887</v>
      </c>
      <c r="Q45" s="491" t="n">
        <f aca="false">IF(ISTEXT(H45),"",(B45*$B$7/100)+(C45*$C$7/100))</f>
        <v>0.017</v>
      </c>
      <c r="R45" s="492" t="n">
        <f aca="false">IF(OR(ISTEXT(H45),Q45=0),"",IF(Q45&lt;0.1,1,IF(Q45&lt;1,2,IF(Q45&lt;10,3,IF(Q45&lt;50,4,IF(Q45&gt;=50,5,""))))))</f>
        <v>1</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LYSVUL</v>
      </c>
      <c r="Z45" s="284" t="n">
        <f aca="false">IF(ISERROR(MATCH(A45,'liste reference'!$A$7:$A$904,0)),IF(ISERROR(MATCH(A45,'liste reference'!$B$7:$B$904,0)),"",(MATCH(A45,'liste reference'!$B$7:$B$904,0))),(MATCH(A45,'liste reference'!$A$7:$A$904,0)))</f>
        <v>607</v>
      </c>
      <c r="AA45" s="496"/>
      <c r="AB45" s="497"/>
      <c r="AC45" s="497"/>
      <c r="BC45" s="284" t="n">
        <f aca="false">IF(A45="","",1)</f>
        <v>1</v>
      </c>
    </row>
    <row r="46" customFormat="false" ht="12.75" hidden="false" customHeight="false" outlineLevel="0" collapsed="false">
      <c r="A46" s="498" t="s">
        <v>1946</v>
      </c>
      <c r="B46" s="499" t="n">
        <v>0.01</v>
      </c>
      <c r="C46" s="500"/>
      <c r="D46" s="501" t="str">
        <f aca="false">IF(ISERROR(VLOOKUP($A46,'liste reference'!$A$7:$D$904,2,0)),IF(ISERROR(VLOOKUP($A46,'liste reference'!$B$7:$D$904,1,0)),"",VLOOKUP($A46,'liste reference'!$B$7:$D$904,1,0)),VLOOKUP($A46,'liste reference'!$A$7:$D$904,2,0))</f>
        <v>Lythrum salicaria</v>
      </c>
      <c r="E46" s="501" t="e">
        <f aca="false">IF(D46="",0,VLOOKUP(D46,D$22:D45,1,0))</f>
        <v>#N/A</v>
      </c>
      <c r="F46" s="508" t="n">
        <f aca="false">($B46*$B$7+$C46*$C$7)/100</f>
        <v>0.0035</v>
      </c>
      <c r="G46" s="503" t="str">
        <f aca="false">IF(A46="","",IF(ISERROR(VLOOKUP($A46,'liste reference'!$A$7:$P$904,13,0)),IF(ISERROR(VLOOKUP($A46,'liste reference'!$B$7:$P$904,12,0)),"    -",VLOOKUP($A46,'liste reference'!$B$7:$P$904,12,0)),VLOOKUP($A46,'liste reference'!$A$7:$P$904,13,0)))</f>
        <v>PHe</v>
      </c>
      <c r="H46" s="484" t="n">
        <f aca="false">IF(A46="","x",IF(ISERROR(VLOOKUP($A46,'liste reference'!$A$7:$P$904,14,0)),IF(ISERROR(VLOOKUP($A46,'liste reference'!$B$7:$P$904,13,0)),"x",VLOOKUP($A46,'liste reference'!$B$7:$P$904,13,0)),VLOOKUP($A46,'liste reference'!$A$7:$P$904,14,0)))</f>
        <v>8</v>
      </c>
      <c r="I46" s="504" t="n">
        <f aca="false">IF(ISNUMBER(H46),IF(ISERROR(VLOOKUP($A46,'liste reference'!$A$7:$P$904,3,0)),IF(ISERROR(VLOOKUP($A46,'liste reference'!$B$7:$P$904,2,0)),"",VLOOKUP($A46,'liste reference'!$B$7:$P$904,2,0)),VLOOKUP($A46,'liste reference'!$A$7:$P$904,3,0)),"")</f>
        <v>0</v>
      </c>
      <c r="J46" s="486" t="n">
        <f aca="false">IF(ISNUMBER(H46),IF(ISERROR(VLOOKUP($A46,'liste reference'!$A$7:$P$904,4,0)),IF(ISERROR(VLOOKUP($A46,'liste reference'!$B$7:$P$904,3,0)),"",VLOOKUP($A46,'liste reference'!$B$7:$P$904,3,0)),VLOOKUP($A46,'liste reference'!$A$7:$P$904,4,0)),"")</f>
        <v>0</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Lythrum salicaria</v>
      </c>
      <c r="L46" s="505"/>
      <c r="M46" s="505"/>
      <c r="N46" s="505"/>
      <c r="O46" s="489"/>
      <c r="P46" s="490" t="n">
        <f aca="false">IF($A46="NEWCOD",IF($AC46="","No",$AC46),IF(ISTEXT($E46),"DEJA SAISI !",IF($A46="","",IF(ISERROR(VLOOKUP($A46,'liste reference'!A:S,19,FALSE())),IF(ISERROR(VLOOKUP($A46,'liste reference'!B:S,19,FALSE())),"",VLOOKUP($A46,'liste reference'!B:S,19,FALSE())),VLOOKUP($A46,'liste reference'!A:S,19,FALSE())))))</f>
        <v>1823</v>
      </c>
      <c r="Q46" s="491" t="n">
        <f aca="false">IF(ISTEXT(H46),"",(B46*$B$7/100)+(C46*$C$7/100))</f>
        <v>0.0035</v>
      </c>
      <c r="R46" s="492" t="n">
        <f aca="false">IF(OR(ISTEXT(H46),Q46=0),"",IF(Q46&lt;0.1,1,IF(Q46&lt;1,2,IF(Q46&lt;10,3,IF(Q46&lt;50,4,IF(Q46&gt;=50,5,""))))))</f>
        <v>1</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LYTSAL</v>
      </c>
      <c r="Z46" s="284" t="n">
        <f aca="false">IF(ISERROR(MATCH(A46,'liste reference'!$A$7:$A$904,0)),IF(ISERROR(MATCH(A46,'liste reference'!$B$7:$B$904,0)),"",(MATCH(A46,'liste reference'!$B$7:$B$904,0))),(MATCH(A46,'liste reference'!$A$7:$A$904,0)))</f>
        <v>611</v>
      </c>
      <c r="AA46" s="496"/>
      <c r="AB46" s="497"/>
      <c r="AC46" s="497"/>
      <c r="BC46" s="284" t="n">
        <f aca="false">IF(A46="","",1)</f>
        <v>1</v>
      </c>
    </row>
    <row r="47" customFormat="false" ht="12.75" hidden="false" customHeight="false" outlineLevel="0" collapsed="false">
      <c r="A47" s="498" t="s">
        <v>1957</v>
      </c>
      <c r="B47" s="499" t="n">
        <v>1.3</v>
      </c>
      <c r="C47" s="500" t="n">
        <v>0.005</v>
      </c>
      <c r="D47" s="501" t="str">
        <f aca="false">IF(ISERROR(VLOOKUP($A47,'liste reference'!$A$7:$D$904,2,0)),IF(ISERROR(VLOOKUP($A47,'liste reference'!$B$7:$D$904,1,0)),"",VLOOKUP($A47,'liste reference'!$B$7:$D$904,1,0)),VLOOKUP($A47,'liste reference'!$A$7:$D$904,2,0))</f>
        <v>Mentha sp.</v>
      </c>
      <c r="E47" s="501" t="e">
        <f aca="false">IF(D47="",0,VLOOKUP(D47,D$22:D46,1,0))</f>
        <v>#N/A</v>
      </c>
      <c r="F47" s="508" t="n">
        <f aca="false">($B47*$B$7+$C47*$C$7)/100</f>
        <v>0.45825</v>
      </c>
      <c r="G47" s="503" t="str">
        <f aca="false">IF(A47="","",IF(ISERROR(VLOOKUP($A47,'liste reference'!$A$7:$P$904,13,0)),IF(ISERROR(VLOOKUP($A47,'liste reference'!$B$7:$P$904,12,0)),"    -",VLOOKUP($A47,'liste reference'!$B$7:$P$904,12,0)),VLOOKUP($A47,'liste reference'!$A$7:$P$904,13,0)))</f>
        <v>PHe</v>
      </c>
      <c r="H47" s="484" t="n">
        <f aca="false">IF(A47="","x",IF(ISERROR(VLOOKUP($A47,'liste reference'!$A$7:$P$904,14,0)),IF(ISERROR(VLOOKUP($A47,'liste reference'!$B$7:$P$904,13,0)),"x",VLOOKUP($A47,'liste reference'!$B$7:$P$904,13,0)),VLOOKUP($A47,'liste reference'!$A$7:$P$904,14,0)))</f>
        <v>8</v>
      </c>
      <c r="I47" s="504" t="n">
        <f aca="false">IF(ISNUMBER(H47),IF(ISERROR(VLOOKUP($A47,'liste reference'!$A$7:$P$904,3,0)),IF(ISERROR(VLOOKUP($A47,'liste reference'!$B$7:$P$904,2,0)),"",VLOOKUP($A47,'liste reference'!$B$7:$P$904,2,0)),VLOOKUP($A47,'liste reference'!$A$7:$P$904,3,0)),"")</f>
        <v>0</v>
      </c>
      <c r="J47" s="486" t="n">
        <f aca="false">IF(ISNUMBER(H47),IF(ISERROR(VLOOKUP($A47,'liste reference'!$A$7:$P$904,4,0)),IF(ISERROR(VLOOKUP($A47,'liste reference'!$B$7:$P$904,3,0)),"",VLOOKUP($A47,'liste reference'!$B$7:$P$904,3,0)),VLOOKUP($A47,'liste reference'!$A$7:$P$904,4,0)),"")</f>
        <v>0</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Mentha sp.</v>
      </c>
      <c r="L47" s="505"/>
      <c r="M47" s="505"/>
      <c r="N47" s="505"/>
      <c r="O47" s="489"/>
      <c r="P47" s="490" t="n">
        <f aca="false">IF($A47="NEWCOD",IF($AC47="","No",$AC47),IF(ISTEXT($E47),"DEJA SAISI !",IF($A47="","",IF(ISERROR(VLOOKUP($A47,'liste reference'!A:S,19,FALSE())),IF(ISERROR(VLOOKUP($A47,'liste reference'!B:S,19,FALSE())),"",VLOOKUP($A47,'liste reference'!B:S,19,FALSE())),VLOOKUP($A47,'liste reference'!A:S,19,FALSE())))))</f>
        <v>1790</v>
      </c>
      <c r="Q47" s="491" t="n">
        <f aca="false">IF(ISTEXT(H47),"",(B47*$B$7/100)+(C47*$C$7/100))</f>
        <v>0.45825</v>
      </c>
      <c r="R47" s="492" t="n">
        <f aca="false">IF(OR(ISTEXT(H47),Q47=0),"",IF(Q47&lt;0.1,1,IF(Q47&lt;1,2,IF(Q47&lt;10,3,IF(Q47&lt;50,4,IF(Q47&gt;=50,5,""))))))</f>
        <v>2</v>
      </c>
      <c r="S47" s="492" t="n">
        <f aca="false">IF(ISERROR(R47*I47),0,R47*I47)</f>
        <v>0</v>
      </c>
      <c r="T47" s="492" t="n">
        <f aca="false">IF(ISERROR(R47*I47*J47),0,R47*I47*J47)</f>
        <v>0</v>
      </c>
      <c r="U47" s="506" t="n">
        <f aca="false">IF(ISERROR(R47*J47),0,R47*J47)</f>
        <v>0</v>
      </c>
      <c r="V47" s="493" t="n">
        <v>0</v>
      </c>
      <c r="W47" s="494"/>
      <c r="X47" s="494"/>
      <c r="Y47" s="495" t="str">
        <f aca="false">IF(A47="new.cod","NEWCOD",IF(AND((Z47=""),ISTEXT(A47)),A47,IF(Z47="","",INDEX('liste reference'!$A$7:$A$904,Z47))))</f>
        <v>MENSPX</v>
      </c>
      <c r="Z47" s="284" t="n">
        <f aca="false">IF(ISERROR(MATCH(A47,'liste reference'!$A$7:$A$904,0)),IF(ISERROR(MATCH(A47,'liste reference'!$B$7:$B$904,0)),"",(MATCH(A47,'liste reference'!$B$7:$B$904,0))),(MATCH(A47,'liste reference'!$A$7:$A$904,0)))</f>
        <v>616</v>
      </c>
      <c r="AA47" s="496"/>
      <c r="AB47" s="497"/>
      <c r="AC47" s="497"/>
      <c r="BC47" s="284" t="n">
        <f aca="false">IF(A47="","",1)</f>
        <v>1</v>
      </c>
    </row>
    <row r="48" customFormat="false" ht="12.75" hidden="false" customHeight="false" outlineLevel="0" collapsed="false">
      <c r="A48" s="498" t="s">
        <v>1998</v>
      </c>
      <c r="B48" s="499" t="n">
        <v>0.005</v>
      </c>
      <c r="C48" s="500"/>
      <c r="D48" s="501" t="str">
        <f aca="false">IF(ISERROR(VLOOKUP($A48,'liste reference'!$A$7:$D$904,2,0)),IF(ISERROR(VLOOKUP($A48,'liste reference'!$B$7:$D$904,1,0)),"",VLOOKUP($A48,'liste reference'!$B$7:$D$904,1,0)),VLOOKUP($A48,'liste reference'!$A$7:$D$904,2,0))</f>
        <v>Nasturtium officinale</v>
      </c>
      <c r="E48" s="501" t="e">
        <f aca="false">IF(D48="",0,VLOOKUP(D48,D$22:D47,1,0))</f>
        <v>#N/A</v>
      </c>
      <c r="F48" s="508" t="n">
        <f aca="false">($B48*$B$7+$C48*$C$7)/100</f>
        <v>0.00175</v>
      </c>
      <c r="G48" s="503" t="str">
        <f aca="false">IF(A48="","",IF(ISERROR(VLOOKUP($A48,'liste reference'!$A$7:$P$904,13,0)),IF(ISERROR(VLOOKUP($A48,'liste reference'!$B$7:$P$904,12,0)),"    -",VLOOKUP($A48,'liste reference'!$B$7:$P$904,12,0)),VLOOKUP($A48,'liste reference'!$A$7:$P$904,13,0)))</f>
        <v>PHe</v>
      </c>
      <c r="H48" s="484" t="n">
        <f aca="false">IF(A48="","x",IF(ISERROR(VLOOKUP($A48,'liste reference'!$A$7:$P$904,14,0)),IF(ISERROR(VLOOKUP($A48,'liste reference'!$B$7:$P$904,13,0)),"x",VLOOKUP($A48,'liste reference'!$B$7:$P$904,13,0)),VLOOKUP($A48,'liste reference'!$A$7:$P$904,14,0)))</f>
        <v>8</v>
      </c>
      <c r="I48" s="504" t="n">
        <f aca="false">IF(ISNUMBER(H48),IF(ISERROR(VLOOKUP($A48,'liste reference'!$A$7:$P$904,3,0)),IF(ISERROR(VLOOKUP($A48,'liste reference'!$B$7:$P$904,2,0)),"",VLOOKUP($A48,'liste reference'!$B$7:$P$904,2,0)),VLOOKUP($A48,'liste reference'!$A$7:$P$904,3,0)),"")</f>
        <v>11</v>
      </c>
      <c r="J48" s="486" t="n">
        <f aca="false">IF(ISNUMBER(H48),IF(ISERROR(VLOOKUP($A48,'liste reference'!$A$7:$P$904,4,0)),IF(ISERROR(VLOOKUP($A48,'liste reference'!$B$7:$P$904,3,0)),"",VLOOKUP($A48,'liste reference'!$B$7:$P$904,3,0)),VLOOKUP($A48,'liste reference'!$A$7:$P$904,4,0)),"")</f>
        <v>1</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Nasturtium officinale</v>
      </c>
      <c r="L48" s="505"/>
      <c r="M48" s="505"/>
      <c r="N48" s="505"/>
      <c r="O48" s="489"/>
      <c r="P48" s="490" t="n">
        <f aca="false">IF($A48="NEWCOD",IF($AC48="","No",$AC48),IF(ISTEXT($E48),"DEJA SAISI !",IF($A48="","",IF(ISERROR(VLOOKUP($A48,'liste reference'!A:S,19,FALSE())),IF(ISERROR(VLOOKUP($A48,'liste reference'!B:S,19,FALSE())),"",VLOOKUP($A48,'liste reference'!B:S,19,FALSE())),VLOOKUP($A48,'liste reference'!A:S,19,FALSE())))))</f>
        <v>1763</v>
      </c>
      <c r="Q48" s="491" t="n">
        <f aca="false">IF(ISTEXT(H48),"",(B48*$B$7/100)+(C48*$C$7/100))</f>
        <v>0.00175</v>
      </c>
      <c r="R48" s="492" t="n">
        <f aca="false">IF(OR(ISTEXT(H48),Q48=0),"",IF(Q48&lt;0.1,1,IF(Q48&lt;1,2,IF(Q48&lt;10,3,IF(Q48&lt;50,4,IF(Q48&gt;=50,5,""))))))</f>
        <v>1</v>
      </c>
      <c r="S48" s="492" t="n">
        <f aca="false">IF(ISERROR(R48*I48),0,R48*I48)</f>
        <v>11</v>
      </c>
      <c r="T48" s="492" t="n">
        <f aca="false">IF(ISERROR(R48*I48*J48),0,R48*I48*J48)</f>
        <v>11</v>
      </c>
      <c r="U48" s="506" t="n">
        <f aca="false">IF(ISERROR(R48*J48),0,R48*J48)</f>
        <v>1</v>
      </c>
      <c r="V48" s="493" t="n">
        <v>1</v>
      </c>
      <c r="W48" s="494"/>
      <c r="Y48" s="495" t="str">
        <f aca="false">IF(A48="new.cod","NEWCOD",IF(AND((Z48=""),ISTEXT(A48)),A48,IF(Z48="","",INDEX('liste reference'!$A$7:$A$904,Z48))))</f>
        <v>NASOFF</v>
      </c>
      <c r="Z48" s="284" t="n">
        <f aca="false">IF(ISERROR(MATCH(A48,'liste reference'!$A$7:$A$904,0)),IF(ISERROR(MATCH(A48,'liste reference'!$B$7:$B$904,0)),"",(MATCH(A48,'liste reference'!$B$7:$B$904,0))),(MATCH(A48,'liste reference'!$A$7:$A$904,0)))</f>
        <v>634</v>
      </c>
      <c r="AA48" s="496"/>
      <c r="AB48" s="497"/>
      <c r="AC48" s="497"/>
      <c r="BC48" s="284" t="n">
        <f aca="false">IF(A48="","",1)</f>
        <v>1</v>
      </c>
    </row>
    <row r="49" customFormat="false" ht="12.75" hidden="false" customHeight="false" outlineLevel="0" collapsed="false">
      <c r="A49" s="498" t="s">
        <v>2016</v>
      </c>
      <c r="B49" s="499" t="n">
        <v>0.03</v>
      </c>
      <c r="C49" s="500"/>
      <c r="D49" s="501" t="str">
        <f aca="false">IF(ISERROR(VLOOKUP($A49,'liste reference'!$A$7:$D$904,2,0)),IF(ISERROR(VLOOKUP($A49,'liste reference'!$B$7:$D$904,1,0)),"",VLOOKUP($A49,'liste reference'!$B$7:$D$904,1,0)),VLOOKUP($A49,'liste reference'!$A$7:$D$904,2,0))</f>
        <v>Phragmites australis</v>
      </c>
      <c r="E49" s="501" t="e">
        <f aca="false">IF(D49="",0,VLOOKUP(D49,D$22:D48,1,0))</f>
        <v>#N/A</v>
      </c>
      <c r="F49" s="508" t="n">
        <f aca="false">($B49*$B$7+$C49*$C$7)/100</f>
        <v>0.0105</v>
      </c>
      <c r="G49" s="503" t="str">
        <f aca="false">IF(A49="","",IF(ISERROR(VLOOKUP($A49,'liste reference'!$A$7:$P$904,13,0)),IF(ISERROR(VLOOKUP($A49,'liste reference'!$B$7:$P$904,12,0)),"    -",VLOOKUP($A49,'liste reference'!$B$7:$P$904,12,0)),VLOOKUP($A49,'liste reference'!$A$7:$P$904,13,0)))</f>
        <v>PHe</v>
      </c>
      <c r="H49" s="484" t="n">
        <f aca="false">IF(A49="","x",IF(ISERROR(VLOOKUP($A49,'liste reference'!$A$7:$P$904,14,0)),IF(ISERROR(VLOOKUP($A49,'liste reference'!$B$7:$P$904,13,0)),"x",VLOOKUP($A49,'liste reference'!$B$7:$P$904,13,0)),VLOOKUP($A49,'liste reference'!$A$7:$P$904,14,0)))</f>
        <v>8</v>
      </c>
      <c r="I49" s="504" t="n">
        <f aca="false">IF(ISNUMBER(H49),IF(ISERROR(VLOOKUP($A49,'liste reference'!$A$7:$P$904,3,0)),IF(ISERROR(VLOOKUP($A49,'liste reference'!$B$7:$P$904,2,0)),"",VLOOKUP($A49,'liste reference'!$B$7:$P$904,2,0)),VLOOKUP($A49,'liste reference'!$A$7:$P$904,3,0)),"")</f>
        <v>9</v>
      </c>
      <c r="J49" s="486" t="n">
        <f aca="false">IF(ISNUMBER(H49),IF(ISERROR(VLOOKUP($A49,'liste reference'!$A$7:$P$904,4,0)),IF(ISERROR(VLOOKUP($A49,'liste reference'!$B$7:$P$904,3,0)),"",VLOOKUP($A49,'liste reference'!$B$7:$P$904,3,0)),VLOOKUP($A49,'liste reference'!$A$7:$P$904,4,0)),"")</f>
        <v>2</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Phragmites australis</v>
      </c>
      <c r="L49" s="505"/>
      <c r="M49" s="505"/>
      <c r="N49" s="505"/>
      <c r="O49" s="489"/>
      <c r="P49" s="490" t="n">
        <f aca="false">IF($A49="NEWCOD",IF($AC49="","No",$AC49),IF(ISTEXT($E49),"DEJA SAISI !",IF($A49="","",IF(ISERROR(VLOOKUP($A49,'liste reference'!A:S,19,FALSE())),IF(ISERROR(VLOOKUP($A49,'liste reference'!B:S,19,FALSE())),"",VLOOKUP($A49,'liste reference'!B:S,19,FALSE())),VLOOKUP($A49,'liste reference'!A:S,19,FALSE())))))</f>
        <v>1579</v>
      </c>
      <c r="Q49" s="491" t="n">
        <f aca="false">IF(ISTEXT(H49),"",(B49*$B$7/100)+(C49*$C$7/100))</f>
        <v>0.0105</v>
      </c>
      <c r="R49" s="492" t="n">
        <f aca="false">IF(OR(ISTEXT(H49),Q49=0),"",IF(Q49&lt;0.1,1,IF(Q49&lt;1,2,IF(Q49&lt;10,3,IF(Q49&lt;50,4,IF(Q49&gt;=50,5,""))))))</f>
        <v>1</v>
      </c>
      <c r="S49" s="492" t="n">
        <f aca="false">IF(ISERROR(R49*I49),0,R49*I49)</f>
        <v>9</v>
      </c>
      <c r="T49" s="492" t="n">
        <f aca="false">IF(ISERROR(R49*I49*J49),0,R49*I49*J49)</f>
        <v>18</v>
      </c>
      <c r="U49" s="506" t="n">
        <f aca="false">IF(ISERROR(R49*J49),0,R49*J49)</f>
        <v>2</v>
      </c>
      <c r="V49" s="493" t="n">
        <v>2</v>
      </c>
      <c r="W49" s="494"/>
      <c r="Y49" s="495" t="str">
        <f aca="false">IF(A49="new.cod","NEWCOD",IF(AND((Z49=""),ISTEXT(A49)),A49,IF(Z49="","",INDEX('liste reference'!$A$7:$A$904,Z49))))</f>
        <v>PHRAUS</v>
      </c>
      <c r="Z49" s="284" t="n">
        <f aca="false">IF(ISERROR(MATCH(A49,'liste reference'!$A$7:$A$904,0)),IF(ISERROR(MATCH(A49,'liste reference'!$B$7:$B$904,0)),"",(MATCH(A49,'liste reference'!$B$7:$B$904,0))),(MATCH(A49,'liste reference'!$A$7:$A$904,0)))</f>
        <v>641</v>
      </c>
      <c r="AA49" s="496"/>
      <c r="AB49" s="497"/>
      <c r="AC49" s="497"/>
      <c r="BC49" s="284" t="n">
        <f aca="false">IF(A49="","",1)</f>
        <v>1</v>
      </c>
    </row>
    <row r="50" customFormat="false" ht="12.75" hidden="false" customHeight="false" outlineLevel="0" collapsed="false">
      <c r="A50" s="498" t="s">
        <v>2082</v>
      </c>
      <c r="B50" s="499" t="n">
        <v>0.6</v>
      </c>
      <c r="C50" s="500"/>
      <c r="D50" s="501" t="str">
        <f aca="false">IF(ISERROR(VLOOKUP($A50,'liste reference'!$A$7:$D$904,2,0)),IF(ISERROR(VLOOKUP($A50,'liste reference'!$B$7:$D$904,1,0)),"",VLOOKUP($A50,'liste reference'!$B$7:$D$904,1,0)),VLOOKUP($A50,'liste reference'!$A$7:$D$904,2,0))</f>
        <v>Scirpus lacustris</v>
      </c>
      <c r="E50" s="501" t="e">
        <f aca="false">IF(D50="",0,VLOOKUP(D50,D$22:D49,1,0))</f>
        <v>#N/A</v>
      </c>
      <c r="F50" s="508" t="n">
        <f aca="false">($B50*$B$7+$C50*$C$7)/100</f>
        <v>0.21</v>
      </c>
      <c r="G50" s="503" t="str">
        <f aca="false">IF(A50="","",IF(ISERROR(VLOOKUP($A50,'liste reference'!$A$7:$P$904,13,0)),IF(ISERROR(VLOOKUP($A50,'liste reference'!$B$7:$P$904,12,0)),"    -",VLOOKUP($A50,'liste reference'!$B$7:$P$904,12,0)),VLOOKUP($A50,'liste reference'!$A$7:$P$904,13,0)))</f>
        <v>PHe</v>
      </c>
      <c r="H50" s="484" t="n">
        <f aca="false">IF(A50="","x",IF(ISERROR(VLOOKUP($A50,'liste reference'!$A$7:$P$904,14,0)),IF(ISERROR(VLOOKUP($A50,'liste reference'!$B$7:$P$904,13,0)),"x",VLOOKUP($A50,'liste reference'!$B$7:$P$904,13,0)),VLOOKUP($A50,'liste reference'!$A$7:$P$904,14,0)))</f>
        <v>8</v>
      </c>
      <c r="I50" s="504" t="n">
        <f aca="false">IF(ISNUMBER(H50),IF(ISERROR(VLOOKUP($A50,'liste reference'!$A$7:$P$904,3,0)),IF(ISERROR(VLOOKUP($A50,'liste reference'!$B$7:$P$904,2,0)),"",VLOOKUP($A50,'liste reference'!$B$7:$P$904,2,0)),VLOOKUP($A50,'liste reference'!$A$7:$P$904,3,0)),"")</f>
        <v>8</v>
      </c>
      <c r="J50" s="486" t="n">
        <f aca="false">IF(ISNUMBER(H50),IF(ISERROR(VLOOKUP($A50,'liste reference'!$A$7:$P$904,4,0)),IF(ISERROR(VLOOKUP($A50,'liste reference'!$B$7:$P$904,3,0)),"",VLOOKUP($A50,'liste reference'!$B$7:$P$904,3,0)),VLOOKUP($A50,'liste reference'!$A$7:$P$904,4,0)),"")</f>
        <v>2</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Scirpus lacustris</v>
      </c>
      <c r="L50" s="505"/>
      <c r="M50" s="505"/>
      <c r="N50" s="505"/>
      <c r="O50" s="489"/>
      <c r="P50" s="490" t="n">
        <f aca="false">IF($A50="NEWCOD",IF($AC50="","No",$AC50),IF(ISTEXT($E50),"DEJA SAISI !",IF($A50="","",IF(ISERROR(VLOOKUP($A50,'liste reference'!A:S,19,FALSE())),IF(ISERROR(VLOOKUP($A50,'liste reference'!B:S,19,FALSE())),"",VLOOKUP($A50,'liste reference'!B:S,19,FALSE())),VLOOKUP($A50,'liste reference'!A:S,19,FALSE())))))</f>
        <v>1520</v>
      </c>
      <c r="Q50" s="491" t="n">
        <f aca="false">IF(ISTEXT(H50),"",(B50*$B$7/100)+(C50*$C$7/100))</f>
        <v>0.21</v>
      </c>
      <c r="R50" s="492" t="n">
        <f aca="false">IF(OR(ISTEXT(H50),Q50=0),"",IF(Q50&lt;0.1,1,IF(Q50&lt;1,2,IF(Q50&lt;10,3,IF(Q50&lt;50,4,IF(Q50&gt;=50,5,""))))))</f>
        <v>2</v>
      </c>
      <c r="S50" s="492" t="n">
        <f aca="false">IF(ISERROR(R50*I50),0,R50*I50)</f>
        <v>16</v>
      </c>
      <c r="T50" s="492" t="n">
        <f aca="false">IF(ISERROR(R50*I50*J50),0,R50*I50*J50)</f>
        <v>32</v>
      </c>
      <c r="U50" s="506" t="n">
        <f aca="false">IF(ISERROR(R50*J50),0,R50*J50)</f>
        <v>4</v>
      </c>
      <c r="V50" s="493" t="n">
        <v>4</v>
      </c>
      <c r="W50" s="494"/>
      <c r="Y50" s="495" t="str">
        <f aca="false">IF(A50="new.cod","NEWCOD",IF(AND((Z50=""),ISTEXT(A50)),A50,IF(Z50="","",INDEX('liste reference'!$A$7:$A$904,Z50))))</f>
        <v>SCILAC</v>
      </c>
      <c r="Z50" s="284" t="n">
        <f aca="false">IF(ISERROR(MATCH(A50,'liste reference'!$A$7:$A$904,0)),IF(ISERROR(MATCH(A50,'liste reference'!$B$7:$B$904,0)),"",(MATCH(A50,'liste reference'!$B$7:$B$904,0))),(MATCH(A50,'liste reference'!$A$7:$A$904,0)))</f>
        <v>669</v>
      </c>
      <c r="AA50" s="496"/>
      <c r="AB50" s="497"/>
      <c r="AC50" s="497"/>
      <c r="BC50" s="284" t="n">
        <f aca="false">IF(A50="","",1)</f>
        <v>1</v>
      </c>
    </row>
    <row r="51" customFormat="false" ht="12.75" hidden="false" customHeight="false" outlineLevel="0" collapsed="false">
      <c r="A51" s="498" t="s">
        <v>2094</v>
      </c>
      <c r="B51" s="499" t="n">
        <v>0.7</v>
      </c>
      <c r="C51" s="500" t="n">
        <v>0.005</v>
      </c>
      <c r="D51" s="501" t="str">
        <f aca="false">IF(ISERROR(VLOOKUP($A51,'liste reference'!$A$7:$D$904,2,0)),IF(ISERROR(VLOOKUP($A51,'liste reference'!$B$7:$D$904,1,0)),"",VLOOKUP($A51,'liste reference'!$B$7:$D$904,1,0)),VLOOKUP($A51,'liste reference'!$A$7:$D$904,2,0))</f>
        <v>Sparganium erectum</v>
      </c>
      <c r="E51" s="501" t="e">
        <f aca="false">IF(D51="",0,VLOOKUP(D51,D$22:D50,1,0))</f>
        <v>#N/A</v>
      </c>
      <c r="F51" s="508" t="n">
        <f aca="false">($B51*$B$7+$C51*$C$7)/100</f>
        <v>0.24825</v>
      </c>
      <c r="G51" s="503" t="str">
        <f aca="false">IF(A51="","",IF(ISERROR(VLOOKUP($A51,'liste reference'!$A$7:$P$904,13,0)),IF(ISERROR(VLOOKUP($A51,'liste reference'!$B$7:$P$904,12,0)),"    -",VLOOKUP($A51,'liste reference'!$B$7:$P$904,12,0)),VLOOKUP($A51,'liste reference'!$A$7:$P$904,13,0)))</f>
        <v>PHe</v>
      </c>
      <c r="H51" s="484" t="n">
        <f aca="false">IF(A51="","x",IF(ISERROR(VLOOKUP($A51,'liste reference'!$A$7:$P$904,14,0)),IF(ISERROR(VLOOKUP($A51,'liste reference'!$B$7:$P$904,13,0)),"x",VLOOKUP($A51,'liste reference'!$B$7:$P$904,13,0)),VLOOKUP($A51,'liste reference'!$A$7:$P$904,14,0)))</f>
        <v>8</v>
      </c>
      <c r="I51" s="504" t="n">
        <f aca="false">IF(ISNUMBER(H51),IF(ISERROR(VLOOKUP($A51,'liste reference'!$A$7:$P$904,3,0)),IF(ISERROR(VLOOKUP($A51,'liste reference'!$B$7:$P$904,2,0)),"",VLOOKUP($A51,'liste reference'!$B$7:$P$904,2,0)),VLOOKUP($A51,'liste reference'!$A$7:$P$904,3,0)),"")</f>
        <v>10</v>
      </c>
      <c r="J51" s="486" t="n">
        <f aca="false">IF(ISNUMBER(H51),IF(ISERROR(VLOOKUP($A51,'liste reference'!$A$7:$P$904,4,0)),IF(ISERROR(VLOOKUP($A51,'liste reference'!$B$7:$P$904,3,0)),"",VLOOKUP($A51,'liste reference'!$B$7:$P$904,3,0)),VLOOKUP($A51,'liste reference'!$A$7:$P$904,4,0)),"")</f>
        <v>1</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Sparganium erectum</v>
      </c>
      <c r="L51" s="505"/>
      <c r="M51" s="505"/>
      <c r="N51" s="505"/>
      <c r="O51" s="489"/>
      <c r="P51" s="490" t="n">
        <f aca="false">IF($A51="NEWCOD",IF($AC51="","No",$AC51),IF(ISTEXT($E51),"DEJA SAISI !",IF($A51="","",IF(ISERROR(VLOOKUP($A51,'liste reference'!A:S,19,FALSE())),IF(ISERROR(VLOOKUP($A51,'liste reference'!B:S,19,FALSE())),"",VLOOKUP($A51,'liste reference'!B:S,19,FALSE())),VLOOKUP($A51,'liste reference'!A:S,19,FALSE())))))</f>
        <v>1671</v>
      </c>
      <c r="Q51" s="491" t="n">
        <f aca="false">IF(ISTEXT(H51),"",(B51*$B$7/100)+(C51*$C$7/100))</f>
        <v>0.24825</v>
      </c>
      <c r="R51" s="492" t="n">
        <f aca="false">IF(OR(ISTEXT(H51),Q51=0),"",IF(Q51&lt;0.1,1,IF(Q51&lt;1,2,IF(Q51&lt;10,3,IF(Q51&lt;50,4,IF(Q51&gt;=50,5,""))))))</f>
        <v>2</v>
      </c>
      <c r="S51" s="492" t="n">
        <f aca="false">IF(ISERROR(R51*I51),0,R51*I51)</f>
        <v>20</v>
      </c>
      <c r="T51" s="492" t="n">
        <f aca="false">IF(ISERROR(R51*I51*J51),0,R51*I51*J51)</f>
        <v>20</v>
      </c>
      <c r="U51" s="506" t="n">
        <f aca="false">IF(ISERROR(R51*J51),0,R51*J51)</f>
        <v>2</v>
      </c>
      <c r="V51" s="493" t="n">
        <v>2</v>
      </c>
      <c r="W51" s="494"/>
      <c r="Y51" s="495" t="str">
        <f aca="false">IF(A51="new.cod","NEWCOD",IF(AND((Z51=""),ISTEXT(A51)),A51,IF(Z51="","",INDEX('liste reference'!$A$7:$A$904,Z51))))</f>
        <v>SPAERE</v>
      </c>
      <c r="Z51" s="284" t="n">
        <f aca="false">IF(ISERROR(MATCH(A51,'liste reference'!$A$7:$A$904,0)),IF(ISERROR(MATCH(A51,'liste reference'!$B$7:$B$904,0)),"",(MATCH(A51,'liste reference'!$B$7:$B$904,0))),(MATCH(A51,'liste reference'!$A$7:$A$904,0)))</f>
        <v>674</v>
      </c>
      <c r="AA51" s="496"/>
      <c r="AB51" s="497"/>
      <c r="AC51" s="497"/>
      <c r="BC51" s="284" t="n">
        <f aca="false">IF(A51="","",1)</f>
        <v>1</v>
      </c>
    </row>
    <row r="52" customFormat="false" ht="12.75" hidden="false" customHeight="false" outlineLevel="0" collapsed="false">
      <c r="A52" s="498" t="s">
        <v>2139</v>
      </c>
      <c r="B52" s="499" t="n">
        <v>0.1</v>
      </c>
      <c r="C52" s="500"/>
      <c r="D52" s="501" t="str">
        <f aca="false">IF(ISERROR(VLOOKUP($A52,'liste reference'!$A$7:$D$904,2,0)),IF(ISERROR(VLOOKUP($A52,'liste reference'!$B$7:$D$904,1,0)),"",VLOOKUP($A52,'liste reference'!$B$7:$D$904,1,0)),VLOOKUP($A52,'liste reference'!$A$7:$D$904,2,0))</f>
        <v>Agrostis sp.</v>
      </c>
      <c r="E52" s="501" t="e">
        <f aca="false">IF(D52="",0,VLOOKUP(D52,D$22:D51,1,0))</f>
        <v>#N/A</v>
      </c>
      <c r="F52" s="508" t="n">
        <f aca="false">($B52*$B$7+$C52*$C$7)/100</f>
        <v>0.035</v>
      </c>
      <c r="G52" s="503" t="str">
        <f aca="false">IF(A52="","",IF(ISERROR(VLOOKUP($A52,'liste reference'!$A$7:$P$904,13,0)),IF(ISERROR(VLOOKUP($A52,'liste reference'!$B$7:$P$904,12,0)),"    -",VLOOKUP($A52,'liste reference'!$B$7:$P$904,12,0)),VLOOKUP($A52,'liste reference'!$A$7:$P$904,13,0)))</f>
        <v>PHg</v>
      </c>
      <c r="H52" s="484" t="n">
        <f aca="false">IF(A52="","x",IF(ISERROR(VLOOKUP($A52,'liste reference'!$A$7:$P$904,14,0)),IF(ISERROR(VLOOKUP($A52,'liste reference'!$B$7:$P$904,13,0)),"x",VLOOKUP($A52,'liste reference'!$B$7:$P$904,13,0)),VLOOKUP($A52,'liste reference'!$A$7:$P$904,14,0)))</f>
        <v>9</v>
      </c>
      <c r="I52" s="504" t="n">
        <f aca="false">IF(ISNUMBER(H52),IF(ISERROR(VLOOKUP($A52,'liste reference'!$A$7:$P$904,3,0)),IF(ISERROR(VLOOKUP($A52,'liste reference'!$B$7:$P$904,2,0)),"",VLOOKUP($A52,'liste reference'!$B$7:$P$904,2,0)),VLOOKUP($A52,'liste reference'!$A$7:$P$904,3,0)),"")</f>
        <v>0</v>
      </c>
      <c r="J52" s="486" t="n">
        <f aca="false">IF(ISNUMBER(H52),IF(ISERROR(VLOOKUP($A52,'liste reference'!$A$7:$P$904,4,0)),IF(ISERROR(VLOOKUP($A52,'liste reference'!$B$7:$P$904,3,0)),"",VLOOKUP($A52,'liste reference'!$B$7:$P$904,3,0)),VLOOKUP($A52,'liste reference'!$A$7:$P$904,4,0)),"")</f>
        <v>0</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Agrostis sp.</v>
      </c>
      <c r="L52" s="505"/>
      <c r="M52" s="505"/>
      <c r="N52" s="505"/>
      <c r="O52" s="489"/>
      <c r="P52" s="490" t="n">
        <f aca="false">IF($A52="NEWCOD",IF($AC52="","No",$AC52),IF(ISTEXT($E52),"DEJA SAISI !",IF($A52="","",IF(ISERROR(VLOOKUP($A52,'liste reference'!A:S,19,FALSE())),IF(ISERROR(VLOOKUP($A52,'liste reference'!B:S,19,FALSE())),"",VLOOKUP($A52,'liste reference'!B:S,19,FALSE())),VLOOKUP($A52,'liste reference'!A:S,19,FALSE())))))</f>
        <v>1542</v>
      </c>
      <c r="Q52" s="491" t="n">
        <f aca="false">IF(ISTEXT(H52),"",(B52*$B$7/100)+(C52*$C$7/100))</f>
        <v>0.035</v>
      </c>
      <c r="R52" s="492" t="n">
        <f aca="false">IF(OR(ISTEXT(H52),Q52=0),"",IF(Q52&lt;0.1,1,IF(Q52&lt;1,2,IF(Q52&lt;10,3,IF(Q52&lt;50,4,IF(Q52&gt;=50,5,""))))))</f>
        <v>1</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AGRSPX</v>
      </c>
      <c r="Z52" s="284" t="n">
        <f aca="false">IF(ISERROR(MATCH(A52,'liste reference'!$A$7:$A$904,0)),IF(ISERROR(MATCH(A52,'liste reference'!$B$7:$B$904,0)),"",(MATCH(A52,'liste reference'!$B$7:$B$904,0))),(MATCH(A52,'liste reference'!$A$7:$A$904,0)))</f>
        <v>695</v>
      </c>
      <c r="AA52" s="496"/>
      <c r="AB52" s="497"/>
      <c r="AC52" s="497"/>
      <c r="BC52" s="284" t="n">
        <f aca="false">IF(A52="","",1)</f>
        <v>1</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Aiguillon</v>
      </c>
      <c r="B84" s="531" t="str">
        <f aca="false">C3</f>
        <v>Goudargues</v>
      </c>
      <c r="C84" s="532" t="n">
        <f aca="false">A4</f>
        <v>41039</v>
      </c>
      <c r="D84" s="533" t="n">
        <f aca="false">IF(ISERROR(SUM($T$23:$T$82)/SUM($U$23:$U$82)),"",SUM($T$23:$T$82)/SUM($U$23:$U$82))</f>
        <v>10.4444444444444</v>
      </c>
      <c r="E84" s="534" t="n">
        <f aca="false">N13</f>
        <v>30</v>
      </c>
      <c r="F84" s="531" t="n">
        <f aca="false">N14</f>
        <v>30</v>
      </c>
      <c r="G84" s="531" t="n">
        <f aca="false">N15</f>
        <v>9</v>
      </c>
      <c r="H84" s="531" t="n">
        <f aca="false">N16</f>
        <v>11</v>
      </c>
      <c r="I84" s="531" t="n">
        <f aca="false">N17</f>
        <v>1</v>
      </c>
      <c r="J84" s="535" t="n">
        <f aca="false">N8</f>
        <v>7.5</v>
      </c>
      <c r="K84" s="533" t="n">
        <f aca="false">N9</f>
        <v>5.63088772323904</v>
      </c>
      <c r="L84" s="534" t="n">
        <f aca="false">N10</f>
        <v>0</v>
      </c>
      <c r="M84" s="534" t="n">
        <f aca="false">N11</f>
        <v>18</v>
      </c>
      <c r="N84" s="533" t="n">
        <f aca="false">O8</f>
        <v>1.13333333333333</v>
      </c>
      <c r="O84" s="533" t="n">
        <f aca="false">O9</f>
        <v>0.899552890217607</v>
      </c>
      <c r="P84" s="534"/>
      <c r="Q84" s="534" t="n">
        <f aca="false">O10</f>
        <v>0</v>
      </c>
      <c r="R84" s="534" t="n">
        <f aca="false">O11</f>
        <v>3</v>
      </c>
      <c r="S84" s="536" t="n">
        <f aca="false">F21</f>
        <v>4.49</v>
      </c>
      <c r="T84" s="534" t="n">
        <f aca="false">K11</f>
        <v>0</v>
      </c>
      <c r="U84" s="534" t="n">
        <f aca="false">K12</f>
        <v>10</v>
      </c>
      <c r="V84" s="534" t="n">
        <f aca="false">K13</f>
        <v>7</v>
      </c>
      <c r="W84" s="537" t="n">
        <f aca="false">K14</f>
        <v>1</v>
      </c>
      <c r="X84" s="538" t="n">
        <f aca="false">K15</f>
        <v>12</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26</v>
      </c>
      <c r="T87" s="284"/>
      <c r="U87" s="284"/>
      <c r="V87" s="284"/>
    </row>
    <row r="88" customFormat="false" ht="12.75" hidden="true" customHeight="false" outlineLevel="0" collapsed="false">
      <c r="P88" s="284"/>
      <c r="Q88" s="284" t="s">
        <v>2700</v>
      </c>
      <c r="R88" s="284"/>
      <c r="S88" s="493" t="n">
        <f aca="false">VLOOKUP((S87),($S$23:$U$82),2,0)</f>
        <v>52</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10.1951219512195</v>
      </c>
      <c r="T90" s="284"/>
    </row>
    <row r="91" customFormat="false" ht="12.75" hidden="false" customHeight="false" outlineLevel="0" collapsed="false">
      <c r="Q91" s="492" t="s">
        <v>2703</v>
      </c>
      <c r="R91" s="492"/>
      <c r="S91" s="492" t="str">
        <f aca="false">INDEX('liste reference'!$A$7:$A$904,$T$91)</f>
        <v>MOUSPX</v>
      </c>
      <c r="T91" s="284" t="n">
        <f aca="false">IF(ISERROR(MATCH($S$93,'liste reference'!$A$7:$A$904,0)),MATCH($S$93,'liste reference'!$B$7:$B$904,0),(MATCH($S$93,'liste reference'!$A$7:$A$904,0)))</f>
        <v>44</v>
      </c>
      <c r="U91" s="529"/>
    </row>
    <row r="92" customFormat="false" ht="12.75" hidden="false" customHeight="false" outlineLevel="0" collapsed="false">
      <c r="Q92" s="284" t="s">
        <v>2704</v>
      </c>
      <c r="R92" s="284"/>
      <c r="S92" s="284" t="n">
        <f aca="false">MATCH(S87,$S$23:$S$82,0)</f>
        <v>7</v>
      </c>
      <c r="T92" s="284"/>
    </row>
    <row r="93" customFormat="false" ht="12.75" hidden="false" customHeight="false" outlineLevel="0" collapsed="false">
      <c r="Q93" s="492" t="s">
        <v>2705</v>
      </c>
      <c r="R93" s="284"/>
      <c r="S93" s="492" t="str">
        <f aca="false">INDEX($A$23:$A$82,$S$92)</f>
        <v>MOUSPX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2723</v>
      </c>
      <c r="B1" s="552"/>
      <c r="C1" s="552"/>
      <c r="D1" s="552"/>
    </row>
    <row r="2" customFormat="false" ht="15" hidden="false" customHeight="false" outlineLevel="0" collapsed="false">
      <c r="A2" s="553" t="s">
        <v>2724</v>
      </c>
      <c r="B2" s="554"/>
      <c r="C2" s="555"/>
      <c r="D2" s="555"/>
    </row>
    <row r="3" customFormat="false" ht="15.75" hidden="false" customHeight="false" outlineLevel="0" collapsed="false">
      <c r="A3" s="553" t="s">
        <v>2725</v>
      </c>
      <c r="B3" s="554"/>
      <c r="C3" s="555"/>
      <c r="D3" s="556" t="s">
        <v>2726</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2727</v>
      </c>
      <c r="G15" s="574"/>
      <c r="H15" s="575" t="s">
        <v>2728</v>
      </c>
      <c r="I15" s="574"/>
    </row>
    <row r="16" customFormat="false" ht="12.75" hidden="false" customHeight="false" outlineLevel="0" collapsed="false">
      <c r="A16" s="570" t="s">
        <v>1722</v>
      </c>
      <c r="B16" s="569" t="s">
        <v>1723</v>
      </c>
      <c r="C16" s="571"/>
      <c r="D16" s="572"/>
      <c r="F16" s="576" t="s">
        <v>2729</v>
      </c>
      <c r="G16" s="577"/>
      <c r="H16" s="576" t="s">
        <v>2729</v>
      </c>
      <c r="I16" s="578"/>
    </row>
    <row r="17" customFormat="false" ht="12.75" hidden="false" customHeight="false" outlineLevel="0" collapsed="false">
      <c r="A17" s="568" t="s">
        <v>2141</v>
      </c>
      <c r="B17" s="569" t="s">
        <v>2142</v>
      </c>
      <c r="C17" s="571"/>
      <c r="D17" s="572"/>
      <c r="F17" s="579" t="s">
        <v>2730</v>
      </c>
      <c r="G17" s="580"/>
      <c r="H17" s="579" t="s">
        <v>2730</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2722</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2737</v>
      </c>
    </row>
    <row r="34" customFormat="false" ht="12.75" hidden="false" customHeight="false" outlineLevel="0" collapsed="false">
      <c r="A34" s="568" t="s">
        <v>655</v>
      </c>
      <c r="B34" s="569" t="s">
        <v>656</v>
      </c>
      <c r="C34" s="571"/>
      <c r="D34" s="572"/>
      <c r="F34" s="586" t="s">
        <v>2738</v>
      </c>
    </row>
    <row r="35" customFormat="false" ht="12.75" hidden="false" customHeight="false" outlineLevel="0" collapsed="false">
      <c r="A35" s="568" t="s">
        <v>53</v>
      </c>
      <c r="B35" s="588" t="s">
        <v>54</v>
      </c>
      <c r="C35" s="571"/>
      <c r="D35" s="572"/>
      <c r="F35" s="589" t="s">
        <v>2739</v>
      </c>
    </row>
    <row r="36" customFormat="false" ht="12.75" hidden="false" customHeight="false" outlineLevel="0" collapsed="false">
      <c r="A36" s="570" t="s">
        <v>321</v>
      </c>
      <c r="B36" s="569" t="s">
        <v>322</v>
      </c>
      <c r="C36" s="571"/>
      <c r="D36" s="572"/>
      <c r="F36" s="589" t="s">
        <v>2740</v>
      </c>
    </row>
    <row r="37" customFormat="false" ht="12.75" hidden="false" customHeight="false" outlineLevel="0" collapsed="false">
      <c r="A37" s="568" t="s">
        <v>2156</v>
      </c>
      <c r="B37" s="569" t="s">
        <v>2741</v>
      </c>
      <c r="C37" s="571"/>
      <c r="D37" s="572"/>
      <c r="F37" s="587" t="s">
        <v>2742</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2743</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2744</v>
      </c>
      <c r="C96" s="571"/>
      <c r="D96" s="572"/>
    </row>
    <row r="97" customFormat="false" ht="12.75" hidden="false" customHeight="false" outlineLevel="0" collapsed="false">
      <c r="A97" s="568" t="s">
        <v>2745</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2746</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2747</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2748</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2749</v>
      </c>
      <c r="B406" s="569" t="s">
        <v>397</v>
      </c>
      <c r="C406" s="571"/>
      <c r="D406" s="572"/>
    </row>
    <row r="407" customFormat="false" ht="12.75" hidden="false" customHeight="false" outlineLevel="0" collapsed="false">
      <c r="A407" s="570" t="s">
        <v>404</v>
      </c>
      <c r="B407" s="569" t="s">
        <v>2750</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2751</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2752</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2753</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REPELLINI Franck</cp:lastModifiedBy>
  <cp:lastPrinted>2012-09-10T08:20:50Z</cp:lastPrinted>
  <dcterms:modified xsi:type="dcterms:W3CDTF">2013-10-16T10:32:38Z</dcterms:modified>
  <cp:revision>0</cp:revision>
  <dc:subject/>
  <dc:title>Feuille d'aide au calcul de l'IBMR</dc:title>
</cp:coreProperties>
</file>