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vèze-Sorgues" sheetId="1" state="visible" r:id="rId3"/>
  </sheets>
  <externalReferences>
    <externalReference r:id="rId4"/>
  </externalReferences>
  <definedNames>
    <definedName function="false" hidden="false" localSheetId="0" name="_xlnm.Print_Area" vbProcedure="false">'Ouvèze-Sorgues'!$A$1:$O$82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'Ouvèze-Sorgues'!$A$23:$J$84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<sst xmlns="http://schemas.openxmlformats.org/spreadsheetml/2006/main" count="107" uniqueCount="103">
  <si>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</si>
  <si>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</si>
  <si>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</si>
  <si>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</si>
  <si>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</si>
  <si>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Ouvèze</t>
  </si>
  <si>
    <t xml:space="preserve">Sorgues</t>
  </si>
  <si>
    <t xml:space="preserve">06123500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</si>
  <si>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</si>
  <si>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</si>
  <si>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</si>
  <si>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</si>
  <si>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</si>
  <si>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</si>
  <si>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</si>
  <si>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</si>
  <si>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</si>
  <si>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</si>
  <si>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</si>
  <si>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</si>
  <si>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</si>
  <si>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</si>
  <si>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</si>
  <si>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</si>
  <si>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</si>
  <si>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</si>
  <si>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</si>
  <si>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</si>
  <si>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</si>
  <si>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</si>
  <si>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</si>
  <si>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</si>
  <si>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</si>
  <si>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</si>
  <si>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</si>
  <si>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</si>
  <si>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</si>
  <si>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</si>
  <si>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</si>
  <si>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</si>
  <si>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</si>
  <si>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</si>
  <si>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</si>
  <si>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</si>
  <si>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</si>
  <si>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</si>
  <si>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</si>
  <si>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</si>
  <si>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</si>
  <si>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</si>
  <si>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</si>
  <si>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</si>
  <si>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</si>
  <si>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</si>
  <si>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</si>
  <si>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</si>
  <si>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</si>
  <si>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</si>
  <si>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</si>
  <si>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</si>
  <si>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</si>
  <si>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</si>
  <si>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</si>
  <si>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</si>
  <si>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</si>
  <si>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</si>
  <si>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</si>
  <si>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</si>
  <si>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</si>
  <si>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</si>
  <si>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</si>
  <si>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</si>
  <si>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</si>
  <si>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</si>
  <si>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DIA.SPX</t>
  </si>
  <si>
    <t xml:space="preserve">VAU.SPX</t>
  </si>
  <si>
    <t xml:space="preserve">MEL.SPX</t>
  </si>
  <si>
    <t xml:space="preserve">STI.SPX</t>
  </si>
  <si>
    <t xml:space="preserve">AMB.RIP</t>
  </si>
  <si>
    <t xml:space="preserve">CIN.FON</t>
  </si>
  <si>
    <t xml:space="preserve">EQU.PAL</t>
  </si>
  <si>
    <t xml:space="preserve">LYT.SAL</t>
  </si>
  <si>
    <t xml:space="preserve">RAN.REP</t>
  </si>
  <si>
    <t xml:space="preserve">POT.PEC</t>
  </si>
  <si>
    <t xml:space="preserve">LUD.PEP</t>
  </si>
  <si>
    <t xml:space="preserve">PHA.ARU</t>
  </si>
  <si>
    <t xml:space="preserve">LYS.VUL</t>
  </si>
  <si>
    <t xml:space="preserve">CER.DEM</t>
  </si>
  <si>
    <t xml:space="preserve">POT.LUC</t>
  </si>
  <si>
    <t xml:space="preserve">AGR.STO</t>
  </si>
  <si>
    <t xml:space="preserve">POA.SPX</t>
  </si>
  <si>
    <t xml:space="preserve">CYP.LON</t>
  </si>
  <si>
    <t xml:space="preserve">HIL.SPX</t>
  </si>
  <si>
    <t xml:space="preserve">IRI.PSE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</si>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</sst>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-IBMR-RCS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8.18421052631579</v>
      </c>
      <c r="M5" s="52"/>
      <c r="N5" s="53" t="s">
        <v>15</v>
      </c>
      <c r="O5" s="54" t="n">
        <v>8.23333333333333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8.6875</v>
      </c>
      <c r="O8" s="83" t="n">
        <f aca="false">AVERAGE(J23:J82)</f>
        <v>1.625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3.59107690440254</v>
      </c>
      <c r="O9" s="83" t="n">
        <f aca="false">STDEV(J23:J82)</f>
        <v>0.61913918736689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2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15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0.67</v>
      </c>
      <c r="C12" s="118"/>
      <c r="D12" s="110"/>
      <c r="E12" s="110"/>
      <c r="F12" s="111" t="n">
        <f aca="false">($B12*$B$7+$C12*$C$7)/100</f>
        <v>0.67</v>
      </c>
      <c r="G12" s="119"/>
      <c r="H12" s="67"/>
      <c r="I12" s="120" t="s">
        <v>36</v>
      </c>
      <c r="J12" s="120"/>
      <c r="K12" s="114" t="n">
        <f aca="false">COUNTIF($G$23:$G$82,"=ALG")</f>
        <v>6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0.02</v>
      </c>
      <c r="C13" s="118"/>
      <c r="D13" s="110"/>
      <c r="E13" s="110"/>
      <c r="F13" s="111" t="n">
        <f aca="false">($B13*$B$7+$C13*$C$7)/100</f>
        <v>0.02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2</v>
      </c>
      <c r="L13" s="115"/>
      <c r="M13" s="125" t="s">
        <v>39</v>
      </c>
      <c r="N13" s="126" t="n">
        <f aca="false">COUNTIF(F23:F82,"&gt;0")</f>
        <v>22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16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16.39</v>
      </c>
      <c r="C15" s="133"/>
      <c r="D15" s="110"/>
      <c r="E15" s="110"/>
      <c r="F15" s="111" t="n">
        <f aca="false">($B15*$B$7+$C15*$C$7)/100</f>
        <v>16.39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13</v>
      </c>
      <c r="L15" s="115"/>
      <c r="M15" s="134" t="s">
        <v>45</v>
      </c>
      <c r="N15" s="135" t="n">
        <f aca="false">COUNTIF(J23:J82,"=1")</f>
        <v>7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0.01</v>
      </c>
      <c r="C16" s="109"/>
      <c r="D16" s="137"/>
      <c r="E16" s="137"/>
      <c r="F16" s="138"/>
      <c r="G16" s="138" t="n">
        <f aca="false">($B16*$B$7+$C16*$C$7)/100</f>
        <v>0.01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8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17.02</v>
      </c>
      <c r="C17" s="118"/>
      <c r="D17" s="110"/>
      <c r="E17" s="110"/>
      <c r="F17" s="140"/>
      <c r="G17" s="111" t="n">
        <f aca="false">($B17*$B$7+$C17*$C$7)/100</f>
        <v>17.02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0.06</v>
      </c>
      <c r="C18" s="143"/>
      <c r="D18" s="110"/>
      <c r="E18" s="144" t="s">
        <v>51</v>
      </c>
      <c r="F18" s="140"/>
      <c r="G18" s="111" t="n">
        <f aca="false">($B18*$B$7+$C18*$C$7)/100</f>
        <v>0.06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17.09</v>
      </c>
      <c r="G19" s="152" t="n">
        <f aca="false">SUM(G16:G18)</f>
        <v>17.09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17.09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17.09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17.09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17.09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0.02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8" t="e">
        <f aca="false">IF(D23="",0,VLOOKUP(D23,D$22:D22,1,0))</f>
        <v>#N/A</v>
      </c>
      <c r="F23" s="199" t="n">
        <f aca="false">($B23*$B$7+$C23*$C$7)/100</f>
        <v>0.02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5"/>
      <c r="M23" s="205"/>
      <c r="N23" s="205"/>
      <c r="O23" s="206"/>
      <c r="P23" s="207" t="n">
        <f aca="false">IF(ISTEXT(H23),"",(B23*$B$7/100)+(C23*$C$7/100))</f>
        <v>0.02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6</v>
      </c>
      <c r="S23" s="208" t="n">
        <f aca="false">IF(ISERROR(Q23*I23*J23),0,Q23*I23*J23)</f>
        <v>6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CLA.SPX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12</v>
      </c>
      <c r="S24" s="208" t="n">
        <f aca="false">IF(ISERROR(Q24*I24*J24),0,Q24*I24*J24)</f>
        <v>24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DIA.SPX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 t="n">
        <v>0.02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Vaucheria sp.</v>
      </c>
      <c r="E25" s="217" t="e">
        <f aca="false">IF(D25="",0,VLOOKUP(D25,D$22:D24,1,0))</f>
        <v>#N/A</v>
      </c>
      <c r="F25" s="218" t="n">
        <f aca="false">($B25*$B$7+$C25*$C$7)/100</f>
        <v>0.02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4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Vaucheria sp.</v>
      </c>
      <c r="L25" s="222"/>
      <c r="M25" s="222"/>
      <c r="N25" s="222"/>
      <c r="O25" s="206"/>
      <c r="P25" s="207" t="n">
        <f aca="false">IF(ISTEXT(H25),"",(B25*$B$7/100)+(C25*$C$7/100))</f>
        <v>0.02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4</v>
      </c>
      <c r="S25" s="208" t="n">
        <f aca="false">IF(ISERROR(Q25*I25*J25),0,Q25*I25*J25)</f>
        <v>4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VAU.SPX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83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10</v>
      </c>
      <c r="S26" s="208" t="n">
        <f aca="false">IF(ISERROR(Q26*I26*J26),0,Q26*I26*J26)</f>
        <v>10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MEL.SPX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Stigeoclonium sp.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13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Stigeoclonium sp.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13</v>
      </c>
      <c r="S27" s="208" t="n">
        <f aca="false">IF(ISERROR(Q27*I27*J27),0,Q27*I27*J27)</f>
        <v>26</v>
      </c>
      <c r="T27" s="223" t="n">
        <f aca="false">IF(ISERROR(Q27*J27),0,Q27*J27)</f>
        <v>2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STI.SPX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72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78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Amblystegium riparium (Leptodictyum riparium)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5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Amblystegium riparium (Leptodictyum riparium)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5</v>
      </c>
      <c r="S28" s="208" t="n">
        <f aca="false">IF(ISERROR(Q28*I28*J28),0,Q28*I28*J28)</f>
        <v>10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AMB.RIP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149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79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Cinclidotus fontinaloides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Cinclidotus fontinaloides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12</v>
      </c>
      <c r="S29" s="208" t="n">
        <f aca="false">IF(ISERROR(Q29*I29*J29),0,Q29*I29*J29)</f>
        <v>24</v>
      </c>
      <c r="T29" s="223" t="n">
        <f aca="false">IF(ISERROR(Q29*J29),0,Q29*J29)</f>
        <v>2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CIN.FON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173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80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Equisetum palustre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PTE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6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Equisetum palustre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10</v>
      </c>
      <c r="S30" s="208" t="n">
        <f aca="false">IF(ISERROR(Q30*I30*J30),0,Q30*I30*J30)</f>
        <v>10</v>
      </c>
      <c r="T30" s="223" t="n">
        <f aca="false">IF(ISERROR(Q30*J30),0,Q30*J30)</f>
        <v>1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EQU.PAL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282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81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Lythrum salicaria</v>
      </c>
      <c r="E31" s="217" t="e">
        <f aca="false">IF(D31="",0,VLOOKUP(D31,D$21:D30,1,0))</f>
        <v>#N/A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Lythrum salicaria</v>
      </c>
      <c r="L31" s="222"/>
      <c r="M31" s="222"/>
      <c r="N31" s="222"/>
      <c r="O31" s="206"/>
      <c r="P31" s="207" t="n">
        <f aca="false">IF(ISTEXT(H31),"",(B31*$B$7/100)+(C31*$C$7/100))</f>
        <v>0.01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LYT.SAL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611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82</v>
      </c>
      <c r="B32" s="215" t="n">
        <v>0.01</v>
      </c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Ranunculus repens</v>
      </c>
      <c r="E32" s="217" t="e">
        <f aca="false">IF(D32="",0,VLOOKUP(D32,D$22:D31,1,0))</f>
        <v>#N/A</v>
      </c>
      <c r="F32" s="218" t="n">
        <f aca="false">($B32*$B$7+$C32*$C$7)/100</f>
        <v>0.01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PHg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9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Ranunculus repens</v>
      </c>
      <c r="L32" s="222"/>
      <c r="M32" s="222"/>
      <c r="N32" s="222"/>
      <c r="O32" s="206"/>
      <c r="P32" s="207" t="n">
        <f aca="false">IF(ISTEXT(H32),"",(B32*$B$7/100)+(C32*$C$7/100))</f>
        <v>0.01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RAN.REP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810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83</v>
      </c>
      <c r="B33" s="215" t="n">
        <v>4.28</v>
      </c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Potamogeton pectinatus    </v>
      </c>
      <c r="E33" s="217" t="e">
        <f aca="false">IF(D33="",0,VLOOKUP(D33,D$22:D32,1,0))</f>
        <v>#N/A</v>
      </c>
      <c r="F33" s="218" t="n">
        <f aca="false">($B33*$B$7+$C33*$C$7)/100</f>
        <v>4.28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20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2</v>
      </c>
      <c r="J33" s="203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Potamogeton pectinatus    </v>
      </c>
      <c r="L33" s="225"/>
      <c r="M33" s="225"/>
      <c r="N33" s="225"/>
      <c r="O33" s="226"/>
      <c r="P33" s="207" t="n">
        <f aca="false">IF(ISTEXT(H33),"",(B33*$B$7/100)+(C33*$C$7/100))</f>
        <v>4.28</v>
      </c>
      <c r="Q33" s="208" t="n">
        <f aca="false">IF(OR(ISTEXT(H33),P33=0),"",IF(P33&lt;0.1,1,IF(P33&lt;1,2,IF(P33&lt;10,3,IF(P33&lt;50,4,IF(P33&gt;=50,5,""))))))</f>
        <v>3</v>
      </c>
      <c r="R33" s="208" t="n">
        <f aca="false">IF(ISERROR(Q33*I33),0,Q33*I33)</f>
        <v>6</v>
      </c>
      <c r="S33" s="208" t="n">
        <f aca="false">IF(ISERROR(Q33*I33*J33),0,Q33*I33*J33)</f>
        <v>12</v>
      </c>
      <c r="T33" s="223" t="n">
        <f aca="false">IF(ISERROR(Q33*J33),0,Q33*J33)</f>
        <v>6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POT.PEC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425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84</v>
      </c>
      <c r="B34" s="215" t="n">
        <v>0.01</v>
      </c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Ludwigia peploides </v>
      </c>
      <c r="E34" s="217" t="e">
        <f aca="false">IF(D34="",0,VLOOKUP(D34,D$22:D33,1,0))</f>
        <v>#N/A</v>
      </c>
      <c r="F34" s="227" t="n">
        <f aca="false">($B34*$B$7+$C34*$C$7)/100</f>
        <v>0.01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Ludwigia peploides </v>
      </c>
      <c r="L34" s="225"/>
      <c r="M34" s="225"/>
      <c r="N34" s="225"/>
      <c r="O34" s="226"/>
      <c r="P34" s="207" t="n">
        <f aca="false">IF(ISTEXT(H34),"",(B34*$B$7/100)+(C34*$C$7/100))</f>
        <v>0.01</v>
      </c>
      <c r="Q34" s="208" t="n">
        <f aca="false">IF(OR(ISTEXT(H34),P34=0),"",IF(P34&lt;0.1,1,IF(P34&lt;1,2,IF(P34&lt;10,3,IF(P34&lt;50,4,IF(P34&gt;=50,5,""))))))</f>
        <v>1</v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LUD.PEP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600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 t="s">
        <v>15</v>
      </c>
      <c r="B35" s="215" t="n">
        <v>12</v>
      </c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Myriophyllum spicatum</v>
      </c>
      <c r="E35" s="217" t="e">
        <f aca="false">IF(D35="",0,VLOOKUP(D35,D$22:D34,1,0))</f>
        <v>#N/A</v>
      </c>
      <c r="F35" s="227" t="n">
        <f aca="false">($B35*$B$7+$C35*$C$7)/100</f>
        <v>12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PHy</v>
      </c>
      <c r="H35" s="201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7</v>
      </c>
      <c r="I35" s="220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8</v>
      </c>
      <c r="J35" s="203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Myriophyllum spicatum</v>
      </c>
      <c r="L35" s="222"/>
      <c r="M35" s="222"/>
      <c r="N35" s="222"/>
      <c r="O35" s="206"/>
      <c r="P35" s="207" t="n">
        <f aca="false">IF(ISTEXT(H35),"",(B35*$B$7/100)+(C35*$C$7/100))</f>
        <v>12</v>
      </c>
      <c r="Q35" s="208" t="n">
        <f aca="false">IF(OR(ISTEXT(H35),P35=0),"",IF(P35&lt;0.1,1,IF(P35&lt;1,2,IF(P35&lt;10,3,IF(P35&lt;50,4,IF(P35&gt;=50,5,""))))))</f>
        <v>4</v>
      </c>
      <c r="R35" s="208" t="n">
        <f aca="false">IF(ISERROR(Q35*I35),0,Q35*I35)</f>
        <v>32</v>
      </c>
      <c r="S35" s="208" t="n">
        <f aca="false">IF(ISERROR(Q35*I35*J35),0,Q35*I35*J35)</f>
        <v>64</v>
      </c>
      <c r="T35" s="223" t="n">
        <f aca="false">IF(ISERROR(Q35*J35),0,Q35*J35)</f>
        <v>8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>MYR.SPI</v>
      </c>
      <c r="Y35" s="9" t="n">
        <f aca="false">IF(ISERROR(MATCH(A35,'[1]liste reference'!$A$7:$A$906,0)),IF(ISERROR(MATCH(A35,'[1]liste reference'!$B$7:$B$906,0)),"",(MATCH(A35,'[1]liste reference'!$B$7:$B$906,0))),(MATCH(A35,'[1]liste reference'!$A$7:$A$906,0)))</f>
        <v>377</v>
      </c>
      <c r="Z35" s="212"/>
      <c r="AA35" s="213"/>
      <c r="BB35" s="9" t="n">
        <f aca="false">IF(A35="","",1)</f>
        <v>1</v>
      </c>
    </row>
    <row r="36" customFormat="false" ht="12.75" hidden="false" customHeight="false" outlineLevel="0" collapsed="false">
      <c r="A36" s="214" t="s">
        <v>85</v>
      </c>
      <c r="B36" s="215" t="n">
        <v>0.01</v>
      </c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Phalaris arundinacea</v>
      </c>
      <c r="E36" s="217" t="e">
        <f aca="false">IF(D36="",0,VLOOKUP(D36,D$22:D35,1,0))</f>
        <v>#N/A</v>
      </c>
      <c r="F36" s="227" t="n">
        <f aca="false">($B36*$B$7+$C36*$C$7)/100</f>
        <v>0.01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201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20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10</v>
      </c>
      <c r="J36" s="203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Phalaris arundinacea</v>
      </c>
      <c r="L36" s="222"/>
      <c r="M36" s="222"/>
      <c r="N36" s="222"/>
      <c r="O36" s="206"/>
      <c r="P36" s="207" t="n">
        <f aca="false">IF(ISTEXT(H36),"",(B36*$B$7/100)+(C36*$C$7/100))</f>
        <v>0.01</v>
      </c>
      <c r="Q36" s="208" t="n">
        <f aca="false">IF(OR(ISTEXT(H36),P36=0),"",IF(P36&lt;0.1,1,IF(P36&lt;1,2,IF(P36&lt;10,3,IF(P36&lt;50,4,IF(P36&gt;=50,5,""))))))</f>
        <v>1</v>
      </c>
      <c r="R36" s="208" t="n">
        <f aca="false">IF(ISERROR(Q36*I36),0,Q36*I36)</f>
        <v>10</v>
      </c>
      <c r="S36" s="208" t="n">
        <f aca="false">IF(ISERROR(Q36*I36*J36),0,Q36*I36*J36)</f>
        <v>10</v>
      </c>
      <c r="T36" s="223" t="n">
        <f aca="false">IF(ISERROR(Q36*J36),0,Q36*J36)</f>
        <v>1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>PHA.ARU</v>
      </c>
      <c r="Y36" s="9" t="n">
        <f aca="false">IF(ISERROR(MATCH(A36,'[1]liste reference'!$A$7:$A$906,0)),IF(ISERROR(MATCH(A36,'[1]liste reference'!$B$7:$B$906,0)),"",(MATCH(A36,'[1]liste reference'!$B$7:$B$906,0))),(MATCH(A36,'[1]liste reference'!$A$7:$A$906,0)))</f>
        <v>640</v>
      </c>
      <c r="Z36" s="212"/>
      <c r="AA36" s="213"/>
      <c r="BB36" s="9" t="n">
        <f aca="false">IF(A36="","",1)</f>
        <v>1</v>
      </c>
    </row>
    <row r="37" customFormat="false" ht="12.75" hidden="false" customHeight="false" outlineLevel="0" collapsed="false">
      <c r="A37" s="214" t="s">
        <v>86</v>
      </c>
      <c r="B37" s="215" t="n">
        <v>0.01</v>
      </c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Lysimachia vulgaris</v>
      </c>
      <c r="E37" s="217" t="e">
        <f aca="false">IF(D37="",0,VLOOKUP(D37,D$22:D36,1,0))</f>
        <v>#N/A</v>
      </c>
      <c r="F37" s="227" t="n">
        <f aca="false">($B37*$B$7+$C37*$C$7)/100</f>
        <v>0.01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201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Lysimachia vulgaris</v>
      </c>
      <c r="L37" s="222"/>
      <c r="M37" s="222"/>
      <c r="N37" s="222"/>
      <c r="O37" s="206"/>
      <c r="P37" s="207" t="n">
        <f aca="false">IF(ISTEXT(H37),"",(B37*$B$7/100)+(C37*$C$7/100))</f>
        <v>0.01</v>
      </c>
      <c r="Q37" s="208" t="n">
        <f aca="false">IF(OR(ISTEXT(H37),P37=0),"",IF(P37&lt;0.1,1,IF(P37&lt;1,2,IF(P37&lt;10,3,IF(P37&lt;50,4,IF(P37&gt;=50,5,""))))))</f>
        <v>1</v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>LYS.VUL</v>
      </c>
      <c r="Y37" s="9" t="n">
        <f aca="false">IF(ISERROR(MATCH(A37,'[1]liste reference'!$A$7:$A$906,0)),IF(ISERROR(MATCH(A37,'[1]liste reference'!$B$7:$B$906,0)),"",(MATCH(A37,'[1]liste reference'!$B$7:$B$906,0))),(MATCH(A37,'[1]liste reference'!$A$7:$A$906,0)))</f>
        <v>607</v>
      </c>
      <c r="Z37" s="212"/>
      <c r="AA37" s="213"/>
      <c r="BB37" s="9" t="n">
        <f aca="false">IF(A37="","",1)</f>
        <v>1</v>
      </c>
    </row>
    <row r="38" customFormat="false" ht="12.75" hidden="false" customHeight="false" outlineLevel="0" collapsed="false">
      <c r="A38" s="214" t="s">
        <v>87</v>
      </c>
      <c r="B38" s="215" t="n">
        <v>0.01</v>
      </c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Ceratophyllum demersum    </v>
      </c>
      <c r="E38" s="217" t="e">
        <f aca="false">IF(D38="",0,VLOOKUP(D38,D$22:D37,1,0))</f>
        <v>#N/A</v>
      </c>
      <c r="F38" s="227" t="n">
        <f aca="false">($B38*$B$7+$C38*$C$7)/100</f>
        <v>0.01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PHy</v>
      </c>
      <c r="H38" s="201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7</v>
      </c>
      <c r="I38" s="220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5</v>
      </c>
      <c r="J38" s="203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2</v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Ceratophyllum demersum    </v>
      </c>
      <c r="L38" s="222"/>
      <c r="M38" s="222"/>
      <c r="N38" s="222"/>
      <c r="O38" s="206"/>
      <c r="P38" s="207" t="n">
        <f aca="false">IF(ISTEXT(H38),"",(B38*$B$7/100)+(C38*$C$7/100))</f>
        <v>0.01</v>
      </c>
      <c r="Q38" s="208" t="n">
        <f aca="false">IF(OR(ISTEXT(H38),P38=0),"",IF(P38&lt;0.1,1,IF(P38&lt;1,2,IF(P38&lt;10,3,IF(P38&lt;50,4,IF(P38&gt;=50,5,""))))))</f>
        <v>1</v>
      </c>
      <c r="R38" s="208" t="n">
        <f aca="false">IF(ISERROR(Q38*I38),0,Q38*I38)</f>
        <v>5</v>
      </c>
      <c r="S38" s="208" t="n">
        <f aca="false">IF(ISERROR(Q38*I38*J38),0,Q38*I38*J38)</f>
        <v>10</v>
      </c>
      <c r="T38" s="223" t="n">
        <f aca="false">IF(ISERROR(Q38*J38),0,Q38*J38)</f>
        <v>2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>CER.DEM</v>
      </c>
      <c r="Y38" s="9" t="n">
        <f aca="false">IF(ISERROR(MATCH(A38,'[1]liste reference'!$A$7:$A$906,0)),IF(ISERROR(MATCH(A38,'[1]liste reference'!$B$7:$B$906,0)),"",(MATCH(A38,'[1]liste reference'!$B$7:$B$906,0))),(MATCH(A38,'[1]liste reference'!$A$7:$A$906,0)))</f>
        <v>333</v>
      </c>
      <c r="Z38" s="212"/>
      <c r="AA38" s="213"/>
      <c r="BB38" s="9" t="n">
        <f aca="false">IF(A38="","",1)</f>
        <v>1</v>
      </c>
    </row>
    <row r="39" customFormat="false" ht="12.75" hidden="false" customHeight="false" outlineLevel="0" collapsed="false">
      <c r="A39" s="214" t="s">
        <v>88</v>
      </c>
      <c r="B39" s="215" t="n">
        <v>0.01</v>
      </c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Potamogeton lucens</v>
      </c>
      <c r="E39" s="217" t="e">
        <f aca="false">IF(D39="",0,VLOOKUP(D39,D$22:D38,1,0))</f>
        <v>#N/A</v>
      </c>
      <c r="F39" s="227" t="n">
        <f aca="false">($B39*$B$7+$C39*$C$7)/100</f>
        <v>0.01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PHy</v>
      </c>
      <c r="H39" s="201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7</v>
      </c>
      <c r="I39" s="220" t="n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>7</v>
      </c>
      <c r="J39" s="203" t="n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>3</v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Potamogeton lucens</v>
      </c>
      <c r="L39" s="222"/>
      <c r="M39" s="222"/>
      <c r="N39" s="222"/>
      <c r="O39" s="206"/>
      <c r="P39" s="207" t="n">
        <f aca="false">IF(ISTEXT(H39),"",(B39*$B$7/100)+(C39*$C$7/100))</f>
        <v>0.01</v>
      </c>
      <c r="Q39" s="208" t="n">
        <f aca="false">IF(OR(ISTEXT(H39),P39=0),"",IF(P39&lt;0.1,1,IF(P39&lt;1,2,IF(P39&lt;10,3,IF(P39&lt;50,4,IF(P39&gt;=50,5,""))))))</f>
        <v>1</v>
      </c>
      <c r="R39" s="208" t="n">
        <f aca="false">IF(ISERROR(Q39*I39),0,Q39*I39)</f>
        <v>7</v>
      </c>
      <c r="S39" s="208" t="n">
        <f aca="false">IF(ISERROR(Q39*I39*J39),0,Q39*I39*J39)</f>
        <v>21</v>
      </c>
      <c r="T39" s="223" t="n">
        <f aca="false">IF(ISERROR(Q39*J39),0,Q39*J39)</f>
        <v>3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>POT.LUC</v>
      </c>
      <c r="Y39" s="9" t="n">
        <f aca="false">IF(ISERROR(MATCH(A39,'[1]liste reference'!$A$7:$A$906,0)),IF(ISERROR(MATCH(A39,'[1]liste reference'!$B$7:$B$906,0)),"",(MATCH(A39,'[1]liste reference'!$B$7:$B$906,0))),(MATCH(A39,'[1]liste reference'!$A$7:$A$906,0)))</f>
        <v>419</v>
      </c>
      <c r="Z39" s="212"/>
      <c r="AA39" s="213"/>
      <c r="BB39" s="9" t="n">
        <f aca="false">IF(A39="","",1)</f>
        <v>1</v>
      </c>
    </row>
    <row r="40" customFormat="false" ht="12.75" hidden="false" customHeight="false" outlineLevel="0" collapsed="false">
      <c r="A40" s="214" t="s">
        <v>89</v>
      </c>
      <c r="B40" s="215" t="n">
        <v>0.01</v>
      </c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Agrostis stolonifera</v>
      </c>
      <c r="E40" s="217" t="e">
        <f aca="false">IF(D40="",0,VLOOKUP(D40,D$22:D39,1,0))</f>
        <v>#N/A</v>
      </c>
      <c r="F40" s="227" t="n">
        <f aca="false">($B40*$B$7+$C40*$C$7)/100</f>
        <v>0.01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PHe</v>
      </c>
      <c r="H40" s="201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8</v>
      </c>
      <c r="I40" s="220" t="n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>10</v>
      </c>
      <c r="J40" s="203" t="n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>1</v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Agrostis stolonifera</v>
      </c>
      <c r="L40" s="222"/>
      <c r="M40" s="222"/>
      <c r="N40" s="222"/>
      <c r="O40" s="206"/>
      <c r="P40" s="207" t="n">
        <f aca="false">IF(ISTEXT(H40),"",(B40*$B$7/100)+(C40*$C$7/100))</f>
        <v>0.01</v>
      </c>
      <c r="Q40" s="208" t="n">
        <f aca="false">IF(OR(ISTEXT(H40),P40=0),"",IF(P40&lt;0.1,1,IF(P40&lt;1,2,IF(P40&lt;10,3,IF(P40&lt;50,4,IF(P40&gt;=50,5,""))))))</f>
        <v>1</v>
      </c>
      <c r="R40" s="208" t="n">
        <f aca="false">IF(ISERROR(Q40*I40),0,Q40*I40)</f>
        <v>10</v>
      </c>
      <c r="S40" s="208" t="n">
        <f aca="false">IF(ISERROR(Q40*I40*J40),0,Q40*I40*J40)</f>
        <v>10</v>
      </c>
      <c r="T40" s="223" t="n">
        <f aca="false">IF(ISERROR(Q40*J40),0,Q40*J40)</f>
        <v>1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>AGR.STO</v>
      </c>
      <c r="Y40" s="9" t="n">
        <f aca="false">IF(ISERROR(MATCH(A40,'[1]liste reference'!$A$7:$A$906,0)),IF(ISERROR(MATCH(A40,'[1]liste reference'!$B$7:$B$906,0)),"",(MATCH(A40,'[1]liste reference'!$B$7:$B$906,0))),(MATCH(A40,'[1]liste reference'!$A$7:$A$906,0)))</f>
        <v>520</v>
      </c>
      <c r="Z40" s="212"/>
      <c r="AA40" s="213"/>
      <c r="BB40" s="9" t="n">
        <f aca="false">IF(A40="","",1)</f>
        <v>1</v>
      </c>
    </row>
    <row r="41" customFormat="false" ht="12.75" hidden="false" customHeight="false" outlineLevel="0" collapsed="false">
      <c r="A41" s="214" t="s">
        <v>90</v>
      </c>
      <c r="B41" s="215" t="n">
        <v>0.01</v>
      </c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>Poa sp.</v>
      </c>
      <c r="E41" s="217" t="e">
        <f aca="false">IF(D41="",0,VLOOKUP(D41,D$22:D40,1,0))</f>
        <v>#N/A</v>
      </c>
      <c r="F41" s="227" t="n">
        <f aca="false">($B41*$B$7+$C41*$C$7)/100</f>
        <v>0.01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>PHg</v>
      </c>
      <c r="H41" s="201" t="n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9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>Poa sp.</v>
      </c>
      <c r="L41" s="222"/>
      <c r="M41" s="222"/>
      <c r="N41" s="222"/>
      <c r="O41" s="206"/>
      <c r="P41" s="207" t="n">
        <f aca="false">IF(ISTEXT(H41),"",(B41*$B$7/100)+(C41*$C$7/100))</f>
        <v>0.01</v>
      </c>
      <c r="Q41" s="208" t="n">
        <f aca="false">IF(OR(ISTEXT(H41),P41=0),"",IF(P41&lt;0.1,1,IF(P41&lt;1,2,IF(P41&lt;10,3,IF(P41&lt;50,4,IF(P41&gt;=50,5,""))))))</f>
        <v>1</v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>POA.SPX</v>
      </c>
      <c r="Y41" s="9" t="n">
        <f aca="false">IF(ISERROR(MATCH(A41,'[1]liste reference'!$A$7:$A$906,0)),IF(ISERROR(MATCH(A41,'[1]liste reference'!$B$7:$B$906,0)),"",(MATCH(A41,'[1]liste reference'!$B$7:$B$906,0))),(MATCH(A41,'[1]liste reference'!$A$7:$A$906,0)))</f>
        <v>800</v>
      </c>
      <c r="Z41" s="212"/>
      <c r="AA41" s="213"/>
      <c r="BB41" s="9" t="n">
        <f aca="false">IF(A41="","",1)</f>
        <v>1</v>
      </c>
    </row>
    <row r="42" customFormat="false" ht="12.75" hidden="false" customHeight="false" outlineLevel="0" collapsed="false">
      <c r="A42" s="214" t="s">
        <v>91</v>
      </c>
      <c r="B42" s="215" t="n">
        <v>0.01</v>
      </c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>Cyperus longus</v>
      </c>
      <c r="E42" s="217" t="e">
        <f aca="false">IF(D42="",0,VLOOKUP(D42,D$22:D41,1,0))</f>
        <v>#N/A</v>
      </c>
      <c r="F42" s="227" t="n">
        <f aca="false">($B42*$B$7+$C42*$C$7)/100</f>
        <v>0.01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>PHg</v>
      </c>
      <c r="H42" s="201" t="n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9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>Cyperus longus</v>
      </c>
      <c r="L42" s="222"/>
      <c r="M42" s="222"/>
      <c r="N42" s="222"/>
      <c r="O42" s="206"/>
      <c r="P42" s="207" t="n">
        <f aca="false">IF(ISTEXT(H42),"",(B42*$B$7/100)+(C42*$C$7/100))</f>
        <v>0.01</v>
      </c>
      <c r="Q42" s="208" t="n">
        <f aca="false">IF(OR(ISTEXT(H42),P42=0),"",IF(P42&lt;0.1,1,IF(P42&lt;1,2,IF(P42&lt;10,3,IF(P42&lt;50,4,IF(P42&gt;=50,5,""))))))</f>
        <v>1</v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>CYP.LON</v>
      </c>
      <c r="Y42" s="9" t="n">
        <f aca="false">IF(ISERROR(MATCH(A42,'[1]liste reference'!$A$7:$A$906,0)),IF(ISERROR(MATCH(A42,'[1]liste reference'!$B$7:$B$906,0)),"",(MATCH(A42,'[1]liste reference'!$B$7:$B$906,0))),(MATCH(A42,'[1]liste reference'!$A$7:$A$906,0)))</f>
        <v>731</v>
      </c>
      <c r="Z42" s="212"/>
      <c r="AA42" s="213"/>
      <c r="BB42" s="9" t="n">
        <f aca="false">IF(A42="","",1)</f>
        <v>1</v>
      </c>
    </row>
    <row r="43" customFormat="false" ht="12.75" hidden="false" customHeight="false" outlineLevel="0" collapsed="false">
      <c r="A43" s="214" t="s">
        <v>92</v>
      </c>
      <c r="B43" s="215" t="n">
        <v>0.6</v>
      </c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>Hildenbrandia rivularis</v>
      </c>
      <c r="E43" s="217" t="e">
        <f aca="false">IF(D43="",0,VLOOKUP(D43,D$22:D42,1,0))</f>
        <v>#N/A</v>
      </c>
      <c r="F43" s="227" t="n">
        <f aca="false">($B43*$B$7+$C43*$C$7)/100</f>
        <v>0.6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>ALG</v>
      </c>
      <c r="H43" s="201" t="n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2</v>
      </c>
      <c r="I43" s="220" t="n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>15</v>
      </c>
      <c r="J43" s="203" t="n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>2</v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>Hildenbrandia rivularis</v>
      </c>
      <c r="L43" s="222"/>
      <c r="M43" s="222"/>
      <c r="N43" s="222"/>
      <c r="O43" s="206"/>
      <c r="P43" s="207" t="n">
        <f aca="false">IF(ISTEXT(H43),"",(B43*$B$7/100)+(C43*$C$7/100))</f>
        <v>0.6</v>
      </c>
      <c r="Q43" s="208" t="n">
        <f aca="false">IF(OR(ISTEXT(H43),P43=0),"",IF(P43&lt;0.1,1,IF(P43&lt;1,2,IF(P43&lt;10,3,IF(P43&lt;50,4,IF(P43&gt;=50,5,""))))))</f>
        <v>2</v>
      </c>
      <c r="R43" s="208" t="n">
        <f aca="false">IF(ISERROR(Q43*I43),0,Q43*I43)</f>
        <v>30</v>
      </c>
      <c r="S43" s="208" t="n">
        <f aca="false">IF(ISERROR(Q43*I43*J43),0,Q43*I43*J43)</f>
        <v>60</v>
      </c>
      <c r="T43" s="223" t="n">
        <f aca="false">IF(ISERROR(Q43*J43),0,Q43*J43)</f>
        <v>4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>HIL.SPX</v>
      </c>
      <c r="Y43" s="9" t="n">
        <f aca="false">IF(ISERROR(MATCH(A43,'[1]liste reference'!$A$7:$A$906,0)),IF(ISERROR(MATCH(A43,'[1]liste reference'!$B$7:$B$906,0)),"",(MATCH(A43,'[1]liste reference'!$B$7:$B$906,0))),(MATCH(A43,'[1]liste reference'!$A$7:$A$906,0)))</f>
        <v>31</v>
      </c>
      <c r="Z43" s="212"/>
      <c r="AA43" s="213"/>
      <c r="BB43" s="9" t="n">
        <f aca="false">IF(A43="","",1)</f>
        <v>1</v>
      </c>
    </row>
    <row r="44" customFormat="false" ht="12.75" hidden="false" customHeight="false" outlineLevel="0" collapsed="false">
      <c r="A44" s="214" t="s">
        <v>93</v>
      </c>
      <c r="B44" s="215" t="n">
        <v>0.01</v>
      </c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>Iris pseudacorus</v>
      </c>
      <c r="E44" s="217" t="e">
        <f aca="false">IF(D44="",0,VLOOKUP(D44,D$22:D43,1,0))</f>
        <v>#N/A</v>
      </c>
      <c r="F44" s="227" t="n">
        <f aca="false">($B44*$B$7+$C44*$C$7)/100</f>
        <v>0.01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>PHe</v>
      </c>
      <c r="H44" s="201" t="n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8</v>
      </c>
      <c r="I44" s="220" t="n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>10</v>
      </c>
      <c r="J44" s="203" t="n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>1</v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>Iris pseudacorus</v>
      </c>
      <c r="L44" s="222"/>
      <c r="M44" s="222"/>
      <c r="N44" s="222"/>
      <c r="O44" s="206"/>
      <c r="P44" s="207" t="n">
        <f aca="false">IF(ISTEXT(H44),"",(B44*$B$7/100)+(C44*$C$7/100))</f>
        <v>0.01</v>
      </c>
      <c r="Q44" s="208" t="n">
        <f aca="false">IF(OR(ISTEXT(H44),P44=0),"",IF(P44&lt;0.1,1,IF(P44&lt;1,2,IF(P44&lt;10,3,IF(P44&lt;50,4,IF(P44&gt;=50,5,""))))))</f>
        <v>1</v>
      </c>
      <c r="R44" s="208" t="n">
        <f aca="false">IF(ISERROR(Q44*I44),0,Q44*I44)</f>
        <v>10</v>
      </c>
      <c r="S44" s="208" t="n">
        <f aca="false">IF(ISERROR(Q44*I44*J44),0,Q44*I44*J44)</f>
        <v>10</v>
      </c>
      <c r="T44" s="223" t="n">
        <f aca="false">IF(ISERROR(Q44*J44),0,Q44*J44)</f>
        <v>1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>IRI.PSE</v>
      </c>
      <c r="Y44" s="9" t="n">
        <f aca="false">IF(ISERROR(MATCH(A44,'[1]liste reference'!$A$7:$A$906,0)),IF(ISERROR(MATCH(A44,'[1]liste reference'!$B$7:$B$906,0)),"",(MATCH(A44,'[1]liste reference'!$B$7:$B$906,0))),(MATCH(A44,'[1]liste reference'!$A$7:$A$906,0)))</f>
        <v>588</v>
      </c>
      <c r="Z44" s="212"/>
      <c r="AA44" s="213"/>
      <c r="BB44" s="9" t="n">
        <f aca="false">IF(A44="","",1)</f>
        <v>1</v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94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Ouvèze</v>
      </c>
      <c r="B84" s="247" t="str">
        <f aca="false">C3</f>
        <v>Sorgues</v>
      </c>
      <c r="C84" s="248" t="n">
        <f aca="false">A4</f>
        <v>40017</v>
      </c>
      <c r="D84" s="249" t="n">
        <f aca="false">IF(ISERROR(SUM($S$23:$S$82)/SUM($T$23:$T$82)),"",SUM($S$23:$S$82)/SUM($T$23:$T$82))</f>
        <v>8.18421052631579</v>
      </c>
      <c r="E84" s="250" t="n">
        <f aca="false">N13</f>
        <v>22</v>
      </c>
      <c r="F84" s="247" t="n">
        <f aca="false">N14</f>
        <v>16</v>
      </c>
      <c r="G84" s="247" t="n">
        <f aca="false">N15</f>
        <v>7</v>
      </c>
      <c r="H84" s="247" t="n">
        <f aca="false">N16</f>
        <v>8</v>
      </c>
      <c r="I84" s="247" t="n">
        <f aca="false">N17</f>
        <v>1</v>
      </c>
      <c r="J84" s="251" t="n">
        <f aca="false">N8</f>
        <v>8.6875</v>
      </c>
      <c r="K84" s="249" t="n">
        <f aca="false">N9</f>
        <v>3.59107690440254</v>
      </c>
      <c r="L84" s="250" t="n">
        <f aca="false">N10</f>
        <v>2</v>
      </c>
      <c r="M84" s="250" t="n">
        <f aca="false">N11</f>
        <v>15</v>
      </c>
      <c r="N84" s="249" t="n">
        <f aca="false">O8</f>
        <v>1.625</v>
      </c>
      <c r="O84" s="249" t="n">
        <f aca="false">O9</f>
        <v>0.61913918736689</v>
      </c>
      <c r="P84" s="250" t="n">
        <f aca="false">O10</f>
        <v>1</v>
      </c>
      <c r="Q84" s="250" t="n">
        <f aca="false">O11</f>
        <v>3</v>
      </c>
      <c r="R84" s="252" t="n">
        <f aca="false">F21</f>
        <v>17.09</v>
      </c>
      <c r="S84" s="250" t="n">
        <f aca="false">K11</f>
        <v>0</v>
      </c>
      <c r="T84" s="250" t="n">
        <f aca="false">K12</f>
        <v>6</v>
      </c>
      <c r="U84" s="250" t="n">
        <f aca="false">K13</f>
        <v>2</v>
      </c>
      <c r="V84" s="253" t="n">
        <f aca="false">K14</f>
        <v>1</v>
      </c>
      <c r="W84" s="254" t="n">
        <f aca="false">K15</f>
        <v>13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95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96</v>
      </c>
      <c r="Q87" s="9"/>
      <c r="R87" s="209" t="n">
        <f aca="false">VLOOKUP(MAX($R$23:$R$82),($R$23:$T$82),1,0)</f>
        <v>32</v>
      </c>
      <c r="S87" s="9"/>
      <c r="T87" s="9"/>
      <c r="U87" s="9"/>
    </row>
    <row r="88" customFormat="false" ht="12.75" hidden="true" customHeight="false" outlineLevel="0" collapsed="false">
      <c r="P88" s="9" t="s">
        <v>97</v>
      </c>
      <c r="Q88" s="9"/>
      <c r="R88" s="209" t="n">
        <f aca="false">VLOOKUP((R87),($R$23:$T$82),2,0)</f>
        <v>64</v>
      </c>
      <c r="S88" s="9"/>
      <c r="T88" s="9"/>
      <c r="U88" s="9"/>
    </row>
    <row r="89" customFormat="false" ht="12.75" hidden="true" customHeight="false" outlineLevel="0" collapsed="false">
      <c r="P89" s="9" t="s">
        <v>98</v>
      </c>
      <c r="Q89" s="9"/>
      <c r="R89" s="209" t="n">
        <f aca="false">VLOOKUP((R87),($R$23:$T$82),3,0)</f>
        <v>8</v>
      </c>
      <c r="S89" s="9"/>
    </row>
    <row r="90" customFormat="false" ht="12.75" hidden="true" customHeight="false" outlineLevel="0" collapsed="false">
      <c r="P90" s="9" t="s">
        <v>99</v>
      </c>
      <c r="Q90" s="9"/>
      <c r="R90" s="257" t="n">
        <f aca="false">IF(ISERROR(SUM($S$23:$S$82)/SUM($T$23:$T$82)),"",(SUM($S$23:$S$82)-R88)/(SUM($T$23:$T$82)-R89))</f>
        <v>8.23333333333333</v>
      </c>
      <c r="S90" s="9"/>
    </row>
    <row r="91" customFormat="false" ht="12.75" hidden="true" customHeight="false" outlineLevel="0" collapsed="false">
      <c r="P91" s="208" t="s">
        <v>100</v>
      </c>
      <c r="Q91" s="208"/>
      <c r="R91" s="208" t="str">
        <f aca="false">INDEX('[1]liste reference'!$A$7:$A$906,$S$91)</f>
        <v>MYR.SPI</v>
      </c>
      <c r="S91" s="9" t="n">
        <f aca="false">IF(ISERROR(MATCH($R$93,'[1]liste reference'!$A$7:$A$906,0)),MATCH($R$93,'[1]liste reference'!$B$7:$B$906,0),(MATCH($R$93,'[1]liste reference'!$A$7:$A$906,0)))</f>
        <v>377</v>
      </c>
      <c r="T91" s="245"/>
    </row>
    <row r="92" customFormat="false" ht="12.75" hidden="true" customHeight="false" outlineLevel="0" collapsed="false">
      <c r="P92" s="9" t="s">
        <v>101</v>
      </c>
      <c r="Q92" s="9"/>
      <c r="R92" s="9" t="n">
        <f aca="false">MATCH(R87,$R$23:$R$82,0)</f>
        <v>13</v>
      </c>
      <c r="S92" s="9"/>
    </row>
    <row r="93" customFormat="false" ht="12.75" hidden="true" customHeight="false" outlineLevel="0" collapsed="false">
      <c r="P93" s="208" t="s">
        <v>102</v>
      </c>
      <c r="Q93" s="9"/>
      <c r="R93" s="208" t="str">
        <f aca="false">INDEX($A$23:$A$82,$R$92)</f>
        <v>MYR.SPI</v>
      </c>
      <c r="S93" s="9"/>
    </row>
    <row r="94" customFormat="false" ht="12.75" hidden="false" customHeight="false" outlineLevel="0" collapsed="false">
      <c r="R94" s="24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2013-10-22T12:27:39Z</dcterms:created>
  <dc:creator>elise.carnet</dc:creator>
  <dc:description/>
  <dc:language>fr-FR</dc:language>
  <cp:lastModifiedBy>elise.carnet</cp:lastModifiedBy>
  <dcterms:modified xsi:type="dcterms:W3CDTF">2013-10-22T12:27:50Z</dcterms:modified>
  <cp:revision>0</cp:revision>
  <dc:subject/>
  <dc:title/>
</cp:coreProperties>
</file>