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Gardon Anduze" sheetId="6" state="visible" r:id="rId8"/>
    <sheet name="modele" sheetId="7" state="hidden" r:id="rId9"/>
    <sheet name="liste codes réf" sheetId="8" state="hidden" r:id="rId10"/>
  </sheets>
  <definedNames>
    <definedName function="false" hidden="false" localSheetId="5" name="_xlnm.Print_Area" vbProcedure="false">'Gardon Anduze'!$A$1:$O$82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'Gardon Anduze'!$A$23:$J$84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<sst xmlns="http://schemas.openxmlformats.org/spreadsheetml/2006/main" count="7361" uniqueCount="2733">
  <si>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</si>
  <si>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</si>
  <si>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</si>
  <si>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</si>
  <si>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</si>
  <si>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</si>
  <si>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</si>
  <si>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</si>
  <si>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</si>
  <si>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</si>
  <si>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</si>
  <si>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</si>
  <si>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</si>
  <si>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</si>
  <si>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</si>
  <si>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</si>
  <si>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</si>
  <si>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</si>
  <si>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</si>
  <si>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</si>
  <si>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</si>
  <si>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</si>
  <si>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</si>
  <si>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</si>
  <si>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</si>
  <si>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</si>
  <si>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</si>
  <si>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</si>
  <si>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</si>
  <si>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</si>
  <si>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</si>
  <si>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</si>
  <si>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</si>
  <si>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</si>
  <si>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</si>
  <si>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</si>
  <si>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</si>
  <si>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</si>
  <si>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</si>
  <si>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</si>
  <si>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</si>
  <si>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</si>
  <si>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</si>
  <si>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</si>
  <si>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</si>
  <si>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</si>
  <si>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</si>
  <si>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</si>
  <si>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</si>
  <si>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</si>
  <si>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</si>
  <si>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</si>
  <si>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</si>
  <si>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</si>
  <si>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</si>
  <si>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</si>
  <si>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</si>
  <si>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</si>
  <si>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</si>
  <si>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</si>
  <si>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</si>
  <si>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</si>
  <si>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</si>
  <si>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</si>
  <si>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</si>
  <si>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</si>
  <si>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</si>
  <si>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</si>
  <si>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</si>
  <si>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</si>
  <si>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</si>
  <si>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</si>
  <si>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</si>
  <si>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</si>
  <si>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</si>
  <si>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</si>
  <si>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</si>
  <si>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</si>
  <si>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</si>
  <si>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</si>
  <si>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</si>
  <si>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</si>
  <si>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</si>
  <si>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</si>
  <si>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</si>
  <si>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</si>
  <si>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</si>
  <si>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</si>
  <si>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</si>
  <si>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</si>
  <si>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</si>
  <si>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</si>
  <si>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</si>
  <si>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</si>
  <si>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</si>
  <si>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</si>
  <si>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</si>
  <si>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</si>
  <si>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</si>
  <si>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</si>
  <si>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</si>
  <si>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</si>
  <si>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</si>
  <si>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</si>
  <si>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</si>
  <si>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</si>
  <si>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</si>
  <si>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</si>
  <si>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</si>
  <si>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</si>
  <si>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</si>
  <si>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</si>
  <si>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</si>
  <si>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</si>
  <si>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</si>
  <si>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</si>
  <si>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</si>
  <si>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</si>
  <si>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</si>
  <si>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</si>
  <si>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</si>
  <si>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</si>
  <si>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</si>
  <si>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</si>
  <si>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</si>
  <si>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</si>
  <si>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</si>
  <si>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</si>
  <si>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</si>
  <si>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</si>
  <si>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</si>
  <si>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</si>
  <si>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</si>
  <si>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</si>
  <si>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</si>
  <si>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</si>
  <si>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</si>
  <si>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</si>
  <si>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</si>
  <si>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</si>
  <si>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</si>
  <si>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</si>
  <si>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</si>
  <si>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</si>
  <si>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</si>
  <si>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</si>
  <si>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</si>
  <si>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</si>
  <si>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</si>
  <si>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</si>
  <si>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</si>
  <si>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</si>
  <si>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</si>
  <si>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</si>
  <si>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</si>
  <si>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</si>
  <si>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</si>
  <si>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</si>
  <si>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</si>
  <si>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</si>
  <si>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</si>
  <si>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</si>
  <si>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</si>
  <si>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</si>
  <si>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</si>
  <si>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</si>
  <si>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</si>
  <si>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</si>
  <si>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</si>
  <si>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</si>
  <si>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</si>
  <si>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</si>
  <si>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</si>
  <si>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</si>
  <si>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</si>
  <si>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</si>
  <si>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</si>
  <si>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</si>
  <si>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</si>
  <si>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</si>
  <si>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</si>
  <si>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</si>
  <si>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</si>
  <si>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</si>
  <si>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</si>
  <si>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</si>
  <si>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</si>
  <si>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</si>
  <si>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</si>
  <si>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</si>
  <si>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</si>
  <si>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</si>
  <si>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</si>
  <si>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</si>
  <si>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</si>
  <si>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</si>
  <si>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</si>
  <si>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</si>
  <si>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</si>
  <si>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</si>
  <si>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</si>
  <si>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</si>
  <si>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</si>
  <si>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</si>
  <si>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</si>
  <si>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</si>
  <si>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</si>
  <si>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</si>
  <si>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</si>
  <si>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</si>
  <si>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</si>
  <si>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</si>
  <si>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</si>
  <si>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</si>
  <si>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</si>
  <si>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</si>
  <si>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</si>
  <si>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</si>
  <si>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</si>
  <si>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</si>
  <si>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</si>
  <si>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</si>
  <si>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</si>
  <si>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</si>
  <si>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</si>
  <si>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</si>
  <si>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</si>
  <si>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</si>
  <si>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</si>
  <si>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</si>
  <si>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</si>
  <si>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</si>
  <si>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</si>
  <si>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</si>
  <si>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</si>
  <si>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</si>
  <si>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</si>
  <si>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</si>
  <si>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</si>
  <si>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</si>
  <si>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</si>
  <si>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</si>
  <si>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</si>
  <si>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</si>
  <si>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</si>
  <si>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</si>
  <si>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</si>
  <si>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</si>
  <si>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</si>
  <si>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</si>
  <si>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</si>
  <si>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</si>
  <si>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</si>
  <si>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</si>
  <si>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</si>
  <si>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</si>
  <si>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</si>
  <si>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</si>
  <si>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</si>
  <si>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</si>
  <si>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</si>
  <si>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</si>
  <si>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</si>
  <si>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</si>
  <si>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</si>
  <si>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</si>
  <si>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</si>
  <si>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</si>
  <si>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</si>
  <si>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</si>
  <si>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</si>
  <si>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</si>
  <si>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</si>
  <si>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</si>
  <si>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</si>
  <si>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</si>
  <si>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</si>
  <si>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</si>
  <si>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</si>
  <si>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</si>
  <si>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</si>
  <si>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</si>
  <si>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</si>
  <si>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</si>
  <si>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</si>
  <si>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</si>
  <si>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</si>
  <si>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</si>
  <si>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</si>
  <si>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</si>
  <si>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</si>
  <si>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</si>
  <si>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</si>
  <si>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</si>
  <si>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</si>
  <si>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</si>
  <si>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</si>
  <si>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</si>
  <si>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</si>
  <si>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</si>
  <si>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</si>
  <si>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</si>
  <si>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</si>
  <si>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</si>
  <si>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</si>
  <si>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</si>
  <si>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</si>
  <si>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</si>
  <si>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</si>
  <si>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</si>
  <si>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</si>
  <si>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</si>
  <si>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</si>
  <si>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</si>
  <si>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</si>
  <si>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</si>
  <si>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</si>
  <si>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</si>
  <si>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</si>
  <si>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</si>
  <si>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</si>
  <si>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</si>
  <si>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</si>
  <si>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</si>
  <si>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</si>
  <si>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</si>
  <si>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</si>
  <si>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</si>
  <si>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</si>
  <si>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</si>
  <si>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</si>
  <si>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</si>
  <si>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</si>
  <si>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</si>
  <si>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</si>
  <si>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</si>
  <si>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</si>
  <si>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</si>
  <si>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</si>
  <si>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</si>
  <si>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</si>
  <si>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</si>
  <si>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</si>
  <si>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</si>
  <si>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</si>
  <si>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</si>
  <si>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</si>
  <si>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</si>
  <si>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</si>
  <si>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</si>
  <si>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</si>
  <si>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</si>
  <si>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</si>
  <si>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</si>
  <si>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</si>
  <si>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</si>
  <si>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</si>
  <si>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</si>
  <si>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</si>
  <si>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</si>
  <si>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</si>
  <si>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</si>
  <si>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</si>
  <si>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</si>
  <si>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</si>
  <si>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</si>
  <si>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</si>
  <si>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</si>
  <si>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</si>
  <si>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</si>
  <si>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</si>
  <si>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</si>
  <si>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</si>
  <si>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</si>
  <si>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</si>
  <si>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</si>
  <si>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</si>
  <si>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</si>
  <si>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</si>
  <si>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</si>
  <si>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</si>
  <si>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</si>
  <si>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</si>
  <si>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</si>
  <si>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</si>
  <si>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</si>
  <si>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</si>
  <si>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</si>
  <si>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</si>
  <si>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</si>
  <si>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</si>
  <si>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</si>
  <si>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</si>
  <si>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</si>
  <si>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</si>
  <si>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</si>
  <si>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</si>
  <si>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</si>
  <si>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</si>
  <si>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</si>
  <si>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</si>
  <si>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</si>
  <si>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</si>
  <si>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</si>
  <si>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</si>
  <si>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</si>
  <si>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</si>
  <si>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</si>
  <si>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</si>
  <si>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</si>
  <si>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</si>
  <si>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</si>
  <si>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</si>
  <si>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</si>
  <si>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</si>
  <si>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</si>
  <si>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</si>
  <si>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</si>
  <si>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</si>
  <si>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</si>
  <si>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</si>
  <si>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</si>
  <si>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</si>
  <si>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</si>
  <si>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</si>
  <si>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</si>
  <si>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</si>
  <si>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</si>
  <si>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</si>
  <si>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</si>
  <si>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</si>
  <si>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</si>
  <si>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</si>
  <si>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</si>
  <si>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</si>
  <si>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</si>
  <si>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</si>
  <si>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</si>
  <si>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</si>
  <si>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</si>
  <si>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</si>
  <si>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</si>
  <si>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</si>
  <si>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</si>
  <si>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</si>
  <si>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</si>
  <si>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</si>
  <si>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</si>
  <si>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</si>
  <si>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</si>
  <si>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</si>
  <si>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</si>
  <si>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</si>
  <si>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</si>
  <si>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</si>
  <si>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</si>
  <si>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</si>
  <si>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</si>
  <si>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</si>
  <si>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</si>
  <si>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</si>
  <si>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</si>
  <si>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</si>
  <si>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</si>
  <si>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</si>
  <si>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</si>
  <si>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</si>
  <si>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</si>
  <si>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</si>
  <si>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</si>
  <si>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</si>
  <si>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</si>
  <si>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</si>
  <si>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</si>
  <si>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</si>
  <si>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</si>
  <si>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</si>
  <si>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</si>
  <si>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</si>
  <si>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</si>
  <si>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</si>
  <si>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</si>
  <si>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</si>
  <si>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</si>
  <si>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</si>
  <si>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</si>
  <si>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</si>
  <si>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</si>
  <si>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</si>
  <si>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</si>
  <si>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</si>
  <si>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</si>
  <si>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</si>
  <si>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</si>
  <si>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</si>
  <si>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</si>
  <si>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</si>
  <si>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</si>
  <si>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</si>
  <si>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</si>
  <si>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</si>
  <si>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</si>
  <si>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</si>
  <si>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</si>
  <si>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</si>
  <si>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</si>
  <si>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</si>
  <si>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</si>
  <si>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</si>
  <si>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</si>
  <si>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</si>
  <si>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</si>
  <si>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</si>
  <si>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</si>
  <si>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</si>
  <si>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</si>
  <si>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</si>
  <si>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</si>
  <si>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</si>
  <si>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</si>
  <si>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</si>
  <si>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</si>
  <si>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</si>
  <si>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</si>
  <si>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</si>
  <si>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</si>
  <si>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</si>
  <si>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</si>
  <si>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</si>
  <si>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</si>
  <si>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</si>
  <si>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</si>
  <si>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</si>
  <si>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</si>
  <si>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</si>
  <si>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</si>
  <si>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</si>
  <si>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</si>
  <si>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</si>
  <si>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</si>
  <si>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</si>
  <si>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</si>
  <si>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</si>
  <si>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</si>
  <si>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</si>
  <si>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</si>
  <si>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</si>
  <si>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</si>
  <si>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</si>
  <si>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</si>
  <si>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</si>
  <si>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</si>
  <si>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</si>
  <si>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</si>
  <si>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</si>
  <si>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</si>
  <si>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</si>
  <si>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</si>
  <si>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</si>
  <si>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</si>
  <si>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</si>
  <si>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</si>
  <si>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</si>
  <si>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</si>
  <si>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</si>
  <si>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</si>
  <si>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</si>
  <si>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</si>
  <si>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</si>
  <si>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</si>
  <si>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</si>
  <si>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</si>
  <si>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</si>
  <si>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</si>
  <si>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</si>
  <si>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</si>
  <si>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</si>
  <si>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</si>
  <si>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</si>
  <si>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</si>
  <si>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</si>
  <si>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</si>
  <si>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</si>
  <si>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</si>
  <si>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</si>
  <si>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</si>
  <si>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</si>
  <si>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</si>
  <si>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</si>
  <si>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</si>
  <si>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</si>
  <si>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</si>
  <si>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</si>
  <si>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</si>
  <si>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</si>
  <si>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</si>
  <si>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</si>
  <si>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</si>
  <si>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</si>
  <si>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</si>
  <si>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</si>
  <si>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</si>
  <si>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</si>
  <si>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</si>
  <si>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</si>
  <si>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</si>
  <si>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</si>
  <si>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</si>
  <si>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</si>
  <si>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</si>
  <si>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</si>
  <si>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</si>
  <si>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</si>
  <si>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</si>
  <si>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</si>
  <si>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</si>
  <si>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</si>
  <si>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</si>
  <si>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</si>
  <si>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</si>
  <si>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</si>
  <si>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</si>
  <si>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</si>
  <si>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</si>
  <si>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</si>
  <si>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</si>
  <si>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</si>
  <si>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</si>
  <si>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</si>
  <si>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</si>
  <si>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</si>
  <si>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</si>
  <si>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</si>
  <si>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</si>
  <si>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</si>
  <si>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</si>
  <si>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</si>
  <si>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</si>
  <si>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</si>
  <si>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</si>
  <si>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</si>
  <si>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</si>
  <si>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</si>
  <si>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</si>
  <si>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</si>
  <si>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</si>
  <si>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</si>
  <si>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</si>
  <si>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</si>
  <si>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</si>
  <si>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</si>
  <si>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</si>
  <si>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</si>
  <si>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</si>
  <si>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</si>
  <si>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</si>
  <si>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</si>
  <si>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</si>
  <si>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</si>
  <si>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</si>
  <si>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</si>
  <si>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</si>
  <si>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</si>
  <si>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</si>
  <si>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</si>
  <si>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</si>
  <si>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</si>
  <si>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</si>
  <si>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</si>
  <si>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</si>
  <si>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</si>
  <si>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</si>
  <si>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</si>
  <si>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</si>
  <si>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</si>
  <si>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</si>
  <si>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</si>
  <si>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</si>
  <si>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</si>
  <si>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</si>
  <si>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</si>
  <si>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</si>
  <si>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</si>
  <si>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</si>
  <si>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</si>
  <si>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</si>
  <si>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</si>
  <si>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</si>
  <si>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</si>
  <si>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</si>
  <si>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</si>
  <si>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</si>
  <si>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</si>
  <si>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</si>
  <si>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</si>
  <si>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</si>
  <si>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</si>
  <si>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</si>
  <si>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</si>
  <si>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</si>
  <si>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</si>
  <si>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</si>
  <si>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</si>
  <si>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</si>
  <si>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</si>
  <si>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</si>
  <si>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</si>
  <si>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</si>
  <si>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</si>
  <si>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</si>
  <si>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</si>
  <si>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</si>
  <si>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</si>
  <si>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</si>
  <si>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</si>
  <si>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</si>
  <si>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</si>
  <si>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</si>
  <si>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</si>
  <si>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</si>
  <si>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</si>
  <si>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</si>
  <si>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</si>
  <si>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</si>
  <si>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</si>
  <si>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</si>
  <si>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</si>
  <si>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</si>
  <si>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</si>
  <si>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</si>
  <si>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</si>
  <si>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</si>
  <si>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</si>
  <si>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</si>
  <si>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</si>
  <si>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</si>
  <si>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</si>
  <si>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</si>
  <si>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</si>
  <si>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</si>
  <si>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</si>
  <si>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</si>
  <si>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</si>
  <si>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</si>
  <si>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</si>
  <si>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</si>
  <si>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</si>
  <si>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</si>
  <si>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</si>
  <si>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</si>
  <si>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</si>
  <si>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</si>
  <si>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</si>
  <si>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</si>
  <si>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</si>
  <si>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</si>
  <si>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</si>
  <si>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</si>
  <si>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</si>
  <si>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</si>
  <si>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</si>
  <si>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</si>
  <si>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</si>
  <si>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</si>
  <si>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</si>
  <si>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</si>
  <si>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</si>
  <si>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</si>
  <si>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</si>
  <si>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</si>
  <si>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</si>
  <si>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</si>
  <si>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</si>
  <si>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</si>
  <si>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</si>
  <si>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</si>
  <si>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</si>
  <si>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</si>
  <si>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</si>
  <si>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</si>
  <si>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</si>
  <si>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</si>
  <si>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</si>
  <si>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</si>
  <si>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</si>
  <si>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</si>
  <si>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</si>
  <si>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</si>
  <si>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</si>
  <si>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</si>
  <si>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</si>
  <si>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</si>
  <si>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</si>
  <si>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</si>
  <si>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</si>
  <si>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</si>
  <si>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</si>
  <si>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</si>
  <si>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</si>
  <si>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</si>
  <si>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</si>
  <si>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</si>
  <si>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</si>
  <si>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</si>
  <si>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</si>
  <si>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</si>
  <si>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</si>
  <si>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</si>
  <si>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</si>
  <si>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</si>
  <si>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</si>
  <si>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</si>
  <si>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</si>
  <si>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</si>
  <si>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</si>
  <si>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</si>
  <si>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</si>
  <si>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</si>
  <si>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</si>
  <si>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</si>
  <si>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</si>
  <si>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</si>
  <si>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</si>
  <si>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</si>
  <si>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</si>
  <si>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</si>
  <si>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</si>
  <si>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</si>
  <si>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</si>
  <si>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</si>
  <si>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</si>
  <si>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</si>
  <si>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</si>
  <si>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</si>
  <si>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</si>
  <si>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</si>
  <si>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</si>
  <si>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</si>
  <si>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</si>
  <si>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</si>
  <si>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</si>
  <si>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</si>
  <si>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</si>
  <si>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</si>
  <si>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</si>
  <si>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</si>
  <si>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</si>
  <si>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</si>
  <si>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</si>
  <si>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</si>
  <si>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</si>
  <si>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</si>
  <si>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</si>
  <si>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</si>
  <si>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</si>
  <si>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</si>
  <si>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</si>
  <si>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</si>
  <si>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</si>
  <si>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</si>
  <si>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</si>
  <si>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</si>
  <si>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</si>
  <si>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</si>
  <si>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</si>
  <si>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</si>
  <si>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</si>
  <si>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</si>
  <si>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</si>
  <si>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</si>
  <si>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</si>
  <si>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</si>
  <si>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</si>
  <si>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</si>
  <si>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</si>
  <si>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</si>
  <si>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</si>
  <si>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</si>
  <si>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</si>
  <si>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</si>
  <si>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</si>
  <si>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</si>
  <si>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</si>
  <si>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</si>
  <si>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</si>
  <si>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</si>
  <si>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</si>
  <si>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</si>
  <si>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</si>
  <si>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</si>
  <si>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</si>
  <si>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</si>
  <si>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</si>
  <si>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</si>
  <si>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</si>
  <si>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</si>
  <si>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</si>
  <si>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</si>
  <si>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</si>
  <si>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</si>
  <si>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</si>
  <si>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</si>
  <si>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</si>
  <si>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</si>
  <si>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</si>
  <si>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</si>
  <si>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</si>
  <si>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</si>
  <si>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</si>
  <si>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</si>
  <si>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</si>
  <si>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</si>
  <si>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</si>
  <si>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</si>
  <si>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</si>
  <si>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</si>
  <si>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</si>
  <si>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</si>
  <si>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</si>
  <si>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</si>
  <si>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</si>
  <si>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</si>
  <si>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</si>
  <si>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</si>
  <si>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</si>
  <si>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</si>
  <si>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</si>
  <si>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</si>
  <si>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</si>
  <si>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</si>
  <si>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</si>
  <si>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</si>
  <si>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</si>
  <si>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</si>
  <si>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</si>
  <si>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</si>
  <si>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</si>
  <si>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</si>
  <si>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</si>
  <si>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</si>
  <si>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</si>
  <si>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</si>
  <si>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</si>
  <si>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</si>
  <si>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</si>
  <si>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</si>
  <si>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</si>
  <si>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</si>
  <si>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</si>
  <si>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</si>
  <si>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</si>
  <si>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</si>
  <si>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</si>
  <si>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</si>
  <si>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</si>
  <si>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</si>
  <si>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</si>
  <si>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</si>
  <si>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</si>
  <si>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</si>
  <si>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</si>
  <si>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</si>
  <si>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</si>
  <si>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</si>
  <si>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</si>
  <si>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</si>
  <si>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</si>
  <si>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</si>
  <si>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</si>
  <si>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</si>
  <si>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</si>
  <si>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</si>
  <si>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</si>
  <si>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</si>
  <si>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</si>
  <si>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</si>
  <si>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</si>
  <si>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</si>
  <si>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</si>
  <si>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</si>
  <si>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</si>
  <si>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</si>
  <si>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</si>
  <si>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</si>
  <si>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</si>
  <si>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</si>
  <si>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</si>
  <si>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</si>
  <si>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</si>
  <si>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</si>
  <si>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</si>
  <si>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</si>
  <si>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</si>
  <si>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</si>
  <si>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</si>
  <si>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</si>
  <si>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</si>
  <si>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</si>
  <si>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</si>
  <si>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</si>
  <si>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</si>
  <si>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</si>
  <si>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</si>
  <si>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</si>
  <si>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</si>
  <si>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</si>
  <si>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</si>
  <si>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</si>
  <si>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</si>
  <si>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</si>
  <si>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</si>
  <si>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</si>
  <si>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</si>
  <si>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</si>
  <si>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</si>
  <si>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</si>
  <si>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</si>
  <si>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</si>
  <si>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</si>
  <si>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</si>
  <si>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</si>
  <si>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</si>
  <si>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</si>
  <si>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</si>
  <si>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</si>
  <si>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</si>
  <si>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</si>
  <si>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</si>
  <si>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</si>
  <si>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</si>
  <si>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</si>
  <si>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</si>
  <si>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</si>
  <si>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</si>
  <si>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</si>
  <si>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</si>
  <si>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</si>
  <si>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</si>
  <si>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</si>
  <si>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</si>
  <si>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</si>
  <si>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</si>
  <si>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</si>
  <si>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</si>
  <si>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</si>
  <si>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</si>
  <si>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</si>
  <si>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</si>
  <si>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</si>
  <si>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</si>
  <si>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</si>
  <si>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</si>
  <si>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</si>
  <si>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</si>
  <si>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</si>
  <si>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</si>
  <si>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</si>
  <si>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</si>
  <si>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</si>
  <si>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</si>
  <si>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</si>
  <si>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</si>
  <si>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</si>
  <si>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</si>
  <si>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</si>
  <si>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</si>
  <si>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</si>
  <si>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</si>
  <si>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</si>
  <si>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</si>
  <si>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</si>
  <si>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</si>
  <si>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</si>
  <si>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</si>
  <si>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</si>
  <si>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</si>
  <si>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</si>
  <si>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</si>
  <si>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</si>
  <si>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</si>
  <si>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</si>
  <si>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</si>
  <si>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</si>
  <si>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</si>
  <si>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</si>
  <si>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</si>
  <si>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</si>
  <si>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</si>
  <si>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</si>
  <si>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</si>
  <si>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</si>
  <si>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</si>
  <si>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</si>
  <si>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</si>
  <si>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</si>
  <si>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</si>
  <si>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</si>
  <si>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</si>
  <si>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</si>
  <si>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</si>
  <si>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</si>
  <si>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</si>
  <si>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</si>
  <si>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</si>
  <si>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</si>
  <si>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</si>
  <si>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</si>
  <si>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</si>
  <si>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</si>
  <si>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</si>
  <si>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</si>
  <si>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</si>
  <si>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</si>
  <si>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</si>
  <si>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</si>
  <si>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</si>
  <si>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</si>
  <si>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</si>
  <si>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</si>
  <si>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</si>
  <si>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</si>
  <si>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</si>
  <si>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</si>
  <si>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</si>
  <si>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</si>
  <si>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</si>
  <si>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</si>
  <si>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</si>
  <si>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</si>
  <si>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</si>
  <si>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</si>
  <si>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</si>
  <si>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</si>
  <si>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</si>
  <si>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</si>
  <si>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</si>
  <si>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</si>
  <si>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</si>
  <si>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</si>
  <si>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</si>
  <si>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</si>
  <si>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</si>
  <si>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</si>
  <si>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</si>
  <si>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</si>
  <si>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</si>
  <si>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</si>
  <si>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</si>
  <si>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</si>
  <si>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</si>
  <si>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</si>
  <si>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</si>
  <si>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</si>
  <si>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</si>
  <si>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</si>
  <si>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</si>
  <si>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</si>
  <si>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</si>
  <si>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</si>
  <si>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</si>
  <si>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</si>
  <si>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</si>
  <si>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</si>
  <si>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</si>
  <si>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</si>
  <si>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</si>
  <si>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</si>
  <si>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</si>
  <si>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</si>
  <si>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</si>
  <si>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</si>
  <si>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</si>
  <si>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</si>
  <si>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</si>
  <si>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</si>
  <si>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</si>
  <si>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</si>
  <si>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</si>
  <si>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</si>
  <si>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</si>
  <si>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</si>
  <si>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</si>
  <si>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</si>
  <si>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</si>
  <si>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</si>
  <si>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</si>
  <si>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</si>
  <si>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</si>
  <si>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</si>
  <si>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</si>
  <si>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</si>
  <si>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</si>
  <si>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</si>
  <si>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</si>
  <si>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</si>
  <si>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</si>
  <si>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</si>
  <si>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</si>
  <si>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</si>
  <si>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</si>
  <si>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</si>
  <si>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</si>
  <si>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</si>
  <si>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</si>
  <si>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</si>
  <si>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</si>
  <si>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</si>
  <si>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</si>
  <si>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</si>
  <si>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</si>
  <si>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</si>
  <si>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</si>
  <si>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</si>
  <si>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</si>
  <si>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</si>
  <si>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</si>
  <si>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</si>
  <si>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</si>
  <si>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</si>
  <si>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</si>
  <si>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</si>
  <si>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</si>
  <si>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</si>
  <si>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</si>
  <si>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</si>
  <si>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</si>
  <si>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</si>
  <si>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</si>
  <si>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</si>
  <si>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</si>
  <si>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</si>
  <si>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</si>
  <si>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</si>
  <si>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</si>
  <si>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</si>
  <si>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</si>
  <si>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</si>
  <si>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</si>
  <si>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</si>
  <si>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</si>
  <si>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</si>
  <si>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</si>
  <si>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</si>
  <si>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</si>
  <si>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</si>
  <si>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</si>
  <si>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</si>
  <si>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</si>
  <si>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</si>
  <si>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</si>
  <si>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</si>
  <si>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</si>
  <si>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</si>
  <si>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</si>
  <si>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</si>
  <si>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</si>
  <si>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</si>
  <si>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</si>
  <si>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</si>
  <si>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</si>
  <si>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</si>
  <si>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</si>
  <si>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</si>
  <si>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</si>
  <si>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</si>
  <si>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</si>
  <si>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</si>
  <si>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</si>
  <si>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</si>
  <si>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</si>
  <si>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</si>
  <si>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</si>
  <si>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</si>
  <si>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</si>
  <si>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</si>
  <si>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</si>
  <si>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</si>
  <si>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</si>
  <si>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</si>
  <si>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</si>
  <si>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</si>
  <si>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</si>
  <si>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</si>
  <si>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</si>
  <si>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</si>
  <si>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</si>
  <si>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</si>
  <si>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</si>
  <si>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</si>
  <si>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</si>
  <si>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</si>
  <si>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</si>
  <si>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</si>
  <si>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</si>
  <si>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</si>
  <si>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</si>
  <si>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</si>
  <si>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</si>
  <si>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</si>
  <si>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</si>
  <si>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</si>
  <si>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</si>
  <si>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</si>
  <si>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</si>
  <si>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</si>
  <si>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</si>
  <si>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</si>
  <si>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</si>
  <si>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</si>
  <si>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</si>
  <si>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</si>
  <si>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</si>
  <si>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</si>
  <si>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</si>
  <si>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</si>
  <si>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</si>
  <si>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</si>
  <si>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</si>
  <si>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</si>
  <si>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</si>
  <si>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</si>
  <si>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</si>
  <si>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</si>
  <si>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</si>
  <si>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</si>
  <si>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</si>
  <si>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</si>
  <si>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</si>
  <si>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</si>
  <si>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</si>
  <si>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</si>
  <si>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</si>
  <si>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</si>
  <si>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</si>
  <si>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</si>
  <si>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</si>
  <si>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</si>
  <si>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</si>
  <si>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</si>
  <si>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</si>
  <si>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</si>
  <si>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</si>
  <si>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</si>
  <si>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</si>
  <si>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</si>
  <si>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</si>
  <si>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</si>
  <si>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</si>
  <si>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</si>
  <si>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</si>
  <si>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</si>
  <si>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</si>
  <si>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</si>
  <si>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</si>
  <si>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</si>
  <si>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</si>
  <si>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</si>
  <si>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</si>
  <si>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</si>
  <si>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</si>
  <si>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</si>
  <si>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</si>
  <si>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</si>
  <si>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</si>
  <si>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</si>
  <si>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</si>
  <si>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</si>
  <si>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</si>
  <si>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</si>
  <si>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</si>
  <si>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</si>
  <si>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</si>
  <si>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</si>
  <si>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</si>
  <si>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</si>
  <si>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</si>
  <si>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</si>
  <si>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</si>
  <si>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</si>
  <si>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</si>
  <si>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</si>
  <si>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</si>
  <si>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</si>
  <si>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</si>
  <si>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</si>
  <si>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</si>
  <si>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</si>
  <si>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</si>
  <si>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</si>
  <si>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</si>
  <si>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</si>
  <si>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</si>
  <si>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</si>
  <si>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</si>
  <si>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</si>
  <si>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</si>
  <si>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</si>
  <si>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</si>
  <si>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</si>
  <si>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</si>
  <si>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</si>
  <si>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</si>
  <si>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</si>
  <si>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</si>
  <si>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</si>
  <si>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</si>
  <si>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</si>
  <si>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</si>
  <si>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</si>
  <si>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</si>
  <si>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</si>
  <si>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</si>
  <si>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</si>
  <si>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</si>
  <si>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</si>
  <si>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</si>
  <si>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</si>
  <si>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</si>
  <si>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</si>
  <si>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</si>
  <si>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</si>
  <si>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</si>
  <si>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</si>
  <si>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</si>
  <si>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</si>
  <si>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</si>
  <si>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</si>
  <si>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</si>
  <si>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</si>
  <si>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</si>
  <si>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</si>
  <si>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</si>
  <si>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</si>
  <si>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</si>
  <si>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</si>
  <si>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</si>
  <si>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</si>
  <si>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</si>
  <si>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</si>
  <si>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</si>
  <si>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</si>
  <si>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</si>
  <si>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</si>
  <si>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</si>
  <si>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</si>
  <si>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</si>
  <si>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</si>
  <si>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</si>
  <si>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</si>
  <si>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</si>
  <si>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</si>
  <si>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</si>
  <si>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</si>
  <si>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</si>
  <si>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</si>
  <si>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</si>
  <si>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</si>
  <si>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</si>
  <si>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</si>
  <si>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</si>
  <si>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</si>
  <si>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</si>
  <si>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</si>
  <si>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</si>
  <si>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</si>
  <si>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</si>
  <si>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</si>
  <si>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</si>
  <si>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</si>
  <si>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</si>
  <si>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</si>
  <si>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</si>
  <si>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</si>
  <si>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</si>
  <si>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</si>
  <si>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</si>
  <si>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</si>
  <si>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</si>
  <si>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</si>
  <si>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</si>
  <si>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</si>
  <si>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</si>
  <si>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</si>
  <si>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</si>
  <si>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</si>
  <si>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</si>
  <si>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</si>
  <si>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</si>
  <si>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</si>
  <si>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</si>
  <si>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</si>
  <si>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</si>
  <si>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</si>
  <si>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</si>
  <si>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</si>
  <si>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</si>
  <si>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</si>
  <si>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</si>
  <si>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</si>
  <si>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</si>
  <si>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</si>
  <si>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</si>
  <si>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</si>
  <si>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</si>
  <si>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</si>
  <si>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</si>
  <si>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</si>
  <si>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</si>
  <si>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</si>
  <si>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</si>
  <si>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</si>
  <si>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</si>
  <si>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</si>
  <si>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</si>
  <si>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</si>
  <si>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</si>
  <si>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</si>
  <si>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</si>
  <si>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</si>
  <si>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</si>
  <si>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</si>
  <si>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</si>
  <si>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</si>
  <si>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</si>
  <si>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</si>
  <si>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</si>
  <si>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</si>
  <si>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</si>
  <si>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</si>
  <si>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</si>
  <si>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</si>
  <si>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</si>
  <si>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</si>
  <si>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</si>
  <si>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</si>
  <si>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</si>
  <si>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</si>
  <si>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</si>
  <si>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</si>
  <si>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</si>
  <si>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</si>
  <si>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</si>
  <si>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</si>
  <si>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</si>
  <si>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</si>
  <si>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</si>
  <si>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</si>
  <si>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</si>
  <si>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</si>
  <si>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</si>
  <si>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</si>
  <si>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</si>
  <si>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</si>
  <si>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</si>
  <si>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</si>
  <si>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</si>
  <si>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</si>
  <si>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</si>
  <si>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</si>
  <si>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</si>
  <si>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</si>
  <si>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</si>
  <si>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</si>
  <si>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</si>
  <si>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</si>
  <si>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</si>
  <si>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</si>
  <si>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</si>
  <si>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</si>
  <si>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</si>
  <si>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</si>
  <si>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</si>
  <si>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</si>
  <si>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</si>
  <si>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</si>
  <si>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</si>
  <si>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</si>
  <si>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</si>
  <si>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</si>
  <si>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</si>
  <si>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</si>
  <si>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</si>
  <si>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</si>
  <si>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</si>
  <si>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</si>
  <si>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</si>
  <si>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</si>
  <si>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</si>
  <si>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</si>
  <si>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</si>
  <si>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</si>
  <si>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</si>
  <si>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</si>
  <si>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</si>
  <si>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</si>
  <si>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</si>
  <si>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</si>
  <si>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</si>
  <si>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</si>
  <si>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</si>
  <si>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</si>
  <si>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</si>
  <si>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</si>
  <si>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</si>
  <si>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</si>
  <si>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</si>
  <si>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</si>
  <si>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</si>
  <si>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</si>
  <si>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</si>
  <si>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</si>
  <si>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</si>
  <si>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</si>
  <si>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</si>
  <si>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</si>
  <si>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</si>
  <si>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</si>
  <si>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</si>
  <si>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</si>
  <si>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</si>
  <si>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</si>
  <si>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</si>
  <si>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</si>
  <si>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</si>
  <si>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</si>
  <si>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</si>
  <si>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</si>
  <si>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</si>
  <si>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</si>
  <si>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</si>
  <si>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</si>
  <si>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</si>
  <si>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</si>
  <si>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</si>
  <si>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</si>
  <si>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</si>
  <si>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</si>
  <si>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</si>
  <si>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</si>
  <si>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</si>
  <si>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</si>
  <si>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</si>
  <si>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</si>
  <si>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</si>
  <si>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</si>
  <si>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</si>
  <si>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</si>
  <si>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</si>
  <si>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</si>
  <si>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</si>
  <si>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</si>
  <si>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</si>
  <si>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</si>
  <si>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</si>
  <si>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</si>
  <si>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</si>
  <si>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</si>
  <si>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</si>
  <si>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</si>
  <si>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</si>
  <si>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</si>
  <si>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</si>
  <si>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</si>
  <si>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</si>
  <si>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</si>
  <si>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</si>
  <si>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</si>
  <si>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</si>
  <si>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</si>
  <si>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</si>
  <si>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</si>
  <si>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</si>
  <si>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</si>
  <si>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</si>
  <si>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</si>
  <si>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</si>
  <si>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</si>
  <si>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</si>
  <si>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</si>
  <si>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</si>
  <si>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</si>
  <si>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</si>
  <si>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</si>
  <si>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</si>
  <si>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</si>
  <si>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</si>
  <si>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</si>
  <si>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</si>
  <si>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</si>
  <si>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</si>
  <si>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</si>
  <si>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</si>
  <si>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</si>
  <si>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</si>
  <si>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</si>
  <si>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</si>
  <si>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</si>
  <si>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</si>
  <si>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</si>
  <si>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</si>
  <si>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</si>
  <si>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</si>
  <si>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</si>
  <si>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</si>
  <si>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</si>
  <si>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</si>
  <si>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</si>
  <si>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</si>
  <si>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</si>
  <si>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</si>
  <si>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</si>
  <si>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</si>
  <si>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</si>
  <si>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</si>
  <si>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</si>
  <si>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</si>
  <si>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</si>
  <si>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</si>
  <si>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</si>
  <si>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</si>
  <si>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</si>
  <si>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</si>
  <si>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</si>
  <si>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</si>
  <si>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</si>
  <si>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</si>
  <si>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</si>
  <si>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</si>
  <si>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</si>
  <si>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</si>
  <si>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</si>
  <si>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</si>
  <si>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</si>
  <si>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</si>
  <si>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</si>
  <si>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</si>
  <si>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</si>
  <si>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</si>
  <si>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</si>
  <si>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</si>
  <si>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</si>
  <si>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</si>
  <si>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</si>
  <si>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</si>
  <si>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</si>
  <si>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</si>
  <si>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</si>
  <si>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</si>
  <si>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</si>
  <si>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</si>
  <si>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</si>
  <si>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</si>
  <si>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</si>
  <si>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</si>
  <si>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</si>
  <si>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</si>
  <si>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</si>
  <si>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</si>
  <si>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</si>
  <si>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</si>
  <si>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</si>
  <si>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</si>
  <si>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</si>
  <si>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</si>
  <si>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</si>
  <si>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</si>
  <si>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</si>
  <si>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</si>
  <si>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</si>
  <si>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</si>
  <si>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</si>
  <si>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</si>
  <si>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</si>
  <si>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</si>
  <si>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</si>
  <si>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</si>
  <si>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</si>
  <si>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</si>
  <si>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</si>
  <si>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</si>
  <si>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</si>
  <si>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</si>
  <si>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</si>
  <si>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</si>
  <si>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</si>
  <si>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</si>
  <si>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</si>
  <si>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</si>
  <si>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</si>
  <si>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</si>
  <si>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</si>
  <si>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</si>
  <si>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</si>
  <si>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</si>
  <si>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</si>
  <si>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</si>
  <si>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</si>
  <si>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</si>
  <si>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</si>
  <si>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</si>
  <si>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</si>
  <si>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</si>
  <si>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</si>
  <si>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</si>
  <si>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</si>
  <si>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</si>
  <si>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</si>
  <si>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</si>
  <si>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</si>
  <si>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</si>
  <si>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</si>
  <si>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</si>
  <si>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</si>
  <si>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</si>
  <si>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</si>
  <si>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</si>
  <si>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</si>
  <si>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</si>
  <si>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</si>
  <si>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</si>
  <si>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</si>
  <si>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</si>
  <si>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</si>
  <si>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</si>
  <si>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</si>
  <si>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</si>
  <si>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</si>
  <si>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</si>
  <si>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</si>
  <si>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</si>
  <si>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</si>
  <si>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</si>
  <si>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</si>
  <si>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</si>
  <si>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</si>
  <si>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</si>
  <si>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</si>
  <si>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</si>
  <si>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</si>
  <si>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</si>
  <si>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</si>
  <si>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</si>
  <si>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</si>
  <si>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</si>
  <si>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</si>
  <si>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</si>
  <si>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</si>
  <si>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</si>
  <si>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</si>
  <si>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</si>
  <si>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</si>
  <si>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</si>
  <si>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</si>
  <si>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</si>
  <si>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</si>
  <si>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</si>
  <si>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</si>
  <si>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</si>
  <si>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</si>
  <si>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</si>
  <si>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</si>
  <si>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</si>
  <si>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</si>
  <si>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</si>
  <si>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</si>
  <si>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</si>
  <si>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</si>
  <si>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</si>
  <si>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</si>
  <si>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</si>
  <si>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</si>
  <si>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</si>
  <si>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</si>
  <si>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</si>
  <si>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</si>
  <si>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</si>
  <si>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</si>
  <si>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</si>
  <si>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</si>
  <si>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</si>
  <si>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</si>
  <si>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</si>
  <si>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</si>
  <si>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</si>
  <si>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</si>
  <si>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</si>
  <si>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</si>
  <si>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</si>
  <si>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</si>
  <si>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</si>
  <si>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</si>
  <si>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</si>
  <si>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</si>
  <si>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</si>
  <si>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</si>
  <si>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</si>
  <si>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</si>
  <si>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</si>
  <si>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</si>
  <si>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</si>
  <si>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</si>
  <si>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</si>
  <si>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</si>
  <si>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</si>
  <si>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</si>
  <si>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</si>
  <si>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</si>
  <si>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</si>
  <si>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</si>
  <si>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</si>
  <si>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</si>
  <si>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</si>
  <si>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</si>
  <si>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</si>
  <si>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</si>
  <si>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</si>
  <si>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</si>
  <si>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</si>
  <si>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</si>
  <si>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</si>
  <si>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</si>
  <si>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</si>
  <si>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</si>
  <si>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</si>
  <si>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</si>
  <si>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</si>
  <si>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</si>
  <si>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</si>
  <si>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</si>
  <si>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</si>
  <si>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</si>
  <si>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</si>
  <si>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</si>
  <si>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</si>
  <si>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</si>
  <si>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</si>
  <si>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</si>
  <si>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</si>
  <si>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</si>
  <si>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</si>
  <si>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</si>
  <si>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</si>
  <si>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</si>
  <si>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</si>
  <si>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</si>
  <si>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</si>
  <si>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</si>
  <si>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</si>
  <si>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</si>
  <si>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</si>
  <si>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</si>
  <si>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</si>
  <si>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</si>
  <si>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</si>
  <si>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</si>
  <si>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</si>
  <si>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</si>
  <si>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</si>
  <si>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</si>
  <si>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</si>
  <si>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</si>
  <si>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</si>
  <si>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</si>
  <si>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</si>
  <si>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</si>
  <si>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</si>
  <si>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</si>
  <si>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</si>
  <si>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</si>
  <si>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</si>
  <si>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</si>
  <si>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</si>
  <si>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</si>
  <si>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</si>
  <si>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</si>
  <si>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</si>
  <si>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</si>
  <si>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</si>
  <si>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</si>
  <si>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</si>
  <si>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</si>
  <si>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</si>
  <si>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</si>
  <si>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</si>
  <si>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</si>
  <si>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</si>
  <si>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</si>
  <si>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</si>
  <si>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</si>
  <si>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</si>
  <si>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</si>
  <si>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</si>
  <si>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</si>
  <si>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</si>
  <si>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</si>
  <si>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</si>
  <si>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</si>
  <si>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</si>
  <si>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</si>
  <si>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</si>
  <si>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</si>
  <si>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</si>
  <si>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</si>
  <si>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</si>
  <si>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</si>
  <si>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</si>
  <si>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</si>
  <si>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</si>
  <si>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</si>
  <si>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</si>
  <si>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</si>
  <si>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</si>
  <si>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</si>
  <si>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</si>
  <si>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</si>
  <si>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</si>
  <si>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</si>
  <si>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</si>
  <si>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</si>
  <si>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</si>
  <si>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</si>
  <si>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</si>
  <si>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</si>
  <si>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</si>
  <si>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</si>
  <si>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</si>
  <si>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</si>
  <si>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</si>
  <si>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</si>
  <si>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</si>
  <si>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</si>
  <si>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</si>
  <si>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</si>
  <si>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</si>
  <si>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</si>
  <si>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</si>
  <si>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</si>
  <si>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</si>
  <si>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</si>
  <si>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</si>
  <si>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</si>
  <si>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</si>
  <si>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</si>
  <si>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</si>
  <si>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</si>
  <si>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</si>
  <si>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</si>
  <si>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</si>
  <si>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</si>
  <si>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</si>
  <si>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</si>
  <si>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</si>
  <si>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</si>
  <si>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</si>
  <si>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</si>
  <si>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</si>
  <si>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</si>
  <si>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</si>
  <si>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</si>
  <si>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</si>
  <si>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</si>
  <si>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</si>
  <si>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</si>
  <si>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</si>
  <si>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</si>
  <si>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</si>
  <si>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</si>
  <si>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</si>
  <si>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</si>
  <si>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</si>
  <si>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</si>
  <si>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</si>
  <si>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</si>
  <si>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</si>
  <si>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</si>
  <si>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</si>
  <si>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</si>
  <si>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</si>
  <si>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</si>
  <si>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</si>
  <si>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</si>
  <si>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</si>
  <si>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</si>
  <si>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</si>
  <si>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</si>
  <si>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</si>
  <si>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</si>
  <si>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</si>
  <si>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</si>
  <si>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</si>
  <si>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</si>
  <si>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</si>
  <si>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</si>
  <si>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</si>
  <si>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</si>
  <si>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</si>
  <si>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</si>
  <si>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</si>
  <si>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</si>
  <si>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</si>
  <si>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</si>
  <si>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</si>
  <si>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</si>
  <si>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</si>
  <si>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</si>
  <si>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</si>
  <si>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</si>
  <si>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</si>
  <si>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</si>
  <si>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</si>
  <si>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</si>
  <si>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</si>
  <si>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</si>
  <si>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</si>
  <si>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</si>
  <si>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</si>
  <si>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</si>
  <si>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</si>
  <si>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</si>
  <si>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</si>
  <si>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</si>
  <si>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</si>
  <si>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</si>
  <si>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</si>
  <si>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</si>
  <si>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</si>
  <si>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</si>
  <si>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</si>
  <si>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</si>
  <si>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</si>
  <si>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</si>
  <si>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</si>
  <si>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</si>
  <si>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</si>
  <si>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</si>
  <si>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</si>
  <si>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</si>
  <si>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</si>
  <si>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</si>
  <si>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</si>
  <si>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</si>
  <si>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</si>
  <si>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</si>
  <si>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</si>
  <si>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</si>
  <si>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</si>
  <si>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</si>
  <si>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</si>
  <si>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</si>
  <si>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</si>
  <si>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</si>
  <si>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</si>
  <si>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</si>
  <si>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</si>
  <si>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</si>
  <si>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</si>
  <si>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</si>
  <si>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</si>
  <si>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</si>
  <si>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</si>
  <si>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</si>
  <si>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</si>
  <si>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</si>
  <si>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</si>
  <si>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</si>
  <si>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</si>
  <si>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</si>
  <si>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</si>
  <si>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</si>
  <si>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</si>
  <si>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</si>
  <si>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</si>
  <si>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</si>
  <si>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</si>
  <si>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</si>
  <si>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</si>
  <si>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</si>
  <si>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</si>
  <si>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</si>
  <si>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</si>
  <si>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</si>
  <si>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</si>
  <si>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</si>
  <si>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</si>
  <si>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</si>
  <si>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</si>
  <si>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</si>
  <si>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</si>
  <si>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</si>
  <si>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</si>
  <si>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</si>
  <si>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</si>
  <si>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</si>
  <si>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</si>
  <si>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</si>
  <si>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</si>
  <si>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</si>
  <si>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</si>
  <si>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</si>
  <si>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</si>
  <si>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</si>
  <si>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</si>
  <si>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</si>
  <si>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</si>
  <si>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</si>
  <si>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</si>
  <si>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</si>
  <si>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</si>
  <si>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</si>
  <si>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</si>
  <si>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</si>
  <si>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</si>
  <si>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</si>
  <si>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</si>
  <si>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</si>
  <si>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</si>
  <si>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</si>
  <si>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</si>
  <si>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</si>
  <si>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</si>
  <si>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</si>
  <si>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</si>
  <si>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</si>
  <si>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</si>
  <si>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</si>
  <si>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</si>
  <si>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</si>
  <si>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</si>
  <si>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</si>
  <si>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</si>
  <si>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</si>
  <si>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</si>
  <si>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</si>
  <si>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</si>
  <si>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</si>
  <si>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</si>
  <si>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</si>
  <si>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</si>
  <si>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</si>
  <si>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</si>
  <si>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</si>
  <si>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</si>
  <si>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</si>
  <si>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</si>
  <si>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</si>
  <si>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</si>
  <si>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</si>
  <si>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</si>
  <si>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</si>
  <si>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</si>
  <si>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</si>
  <si>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</si>
  <si>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</si>
  <si>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</si>
  <si>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</si>
  <si>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</si>
  <si>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</si>
  <si>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</si>
  <si>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</si>
  <si>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</si>
  <si>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</si>
  <si>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</si>
  <si>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</si>
  <si>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</si>
  <si>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</si>
  <si>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</si>
  <si>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</si>
  <si>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</si>
  <si>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</si>
  <si>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</si>
  <si>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</si>
  <si>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</si>
  <si>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</si>
  <si>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</si>
  <si>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</si>
  <si>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</si>
  <si>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</si>
  <si>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</si>
  <si>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</si>
  <si>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</si>
  <si>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</si>
  <si>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</si>
  <si>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</si>
  <si>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</si>
  <si>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</si>
  <si>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</si>
  <si>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</si>
  <si>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</si>
  <si>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</si>
  <si>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</si>
  <si>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</si>
  <si>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</si>
  <si>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</si>
  <si>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</si>
  <si>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</si>
  <si>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</si>
  <si>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</si>
  <si>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</si>
  <si>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</si>
  <si>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</si>
  <si>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</si>
  <si>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</si>
  <si>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</si>
  <si>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</si>
  <si>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</si>
  <si>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</si>
  <si>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</si>
  <si>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</si>
  <si>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</si>
  <si>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</si>
  <si>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</si>
  <si>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</si>
  <si>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</si>
  <si>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</si>
  <si>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</si>
  <si>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</si>
  <si>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</si>
  <si>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</si>
  <si>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</si>
  <si>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</si>
  <si>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</si>
  <si>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</si>
  <si>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</si>
  <si>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</si>
  <si>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</si>
  <si>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</si>
  <si>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</si>
  <si>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</si>
  <si>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</si>
  <si>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</si>
  <si>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</si>
  <si>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</si>
  <si>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</si>
  <si>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</si>
  <si>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</si>
  <si>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</si>
  <si>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</si>
  <si>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</si>
  <si>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</si>
  <si>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</si>
  <si>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</si>
  <si>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</si>
  <si>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</si>
  <si>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</si>
  <si>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</si>
  <si>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</si>
  <si>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</si>
  <si>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</si>
  <si>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</si>
  <si>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</si>
  <si>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</si>
  <si>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</si>
  <si>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</si>
  <si>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</si>
  <si>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</si>
  <si>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</si>
  <si>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</si>
  <si>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</si>
  <si>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</si>
  <si>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</si>
  <si>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</si>
  <si>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</si>
  <si>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</si>
  <si>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</si>
  <si>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</si>
  <si>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</si>
  <si>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</si>
  <si>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</si>
  <si>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</si>
  <si>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</si>
  <si>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</si>
  <si>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</si>
  <si>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</si>
  <si>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</si>
  <si>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</si>
  <si>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</si>
  <si>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</si>
  <si>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</si>
  <si>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</si>
  <si>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</si>
  <si>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</si>
  <si>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</si>
  <si>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</si>
  <si>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</si>
  <si>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</si>
  <si>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</si>
  <si>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</si>
  <si>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</si>
  <si>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</si>
  <si>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</si>
  <si>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</si>
  <si>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</si>
  <si>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</si>
  <si>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</si>
  <si>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</si>
  <si>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</si>
  <si>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</si>
  <si>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</si>
  <si>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</si>
  <si>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</si>
  <si>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</si>
  <si>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</si>
  <si>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</si>
  <si>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</si>
  <si>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</si>
  <si>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</si>
  <si>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</si>
  <si>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</si>
  <si>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</si>
  <si>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</si>
  <si>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</si>
  <si>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</si>
  <si>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</si>
  <si>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</si>
  <si>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</si>
  <si>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</si>
  <si>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</si>
  <si>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</si>
  <si>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</si>
  <si>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</si>
  <si>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</si>
  <si>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</si>
  <si>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</si>
  <si>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</si>
  <si>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</si>
  <si>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</si>
  <si>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</si>
  <si>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</si>
  <si>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</si>
  <si>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</si>
  <si>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</si>
  <si>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</si>
  <si>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</si>
  <si>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</si>
  <si>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</si>
  <si>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</si>
  <si>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</si>
  <si>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</si>
  <si>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</si>
  <si>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</si>
  <si>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</si>
  <si>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</si>
  <si>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</si>
  <si>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</si>
  <si>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</si>
  <si>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</si>
  <si>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</si>
  <si>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</si>
  <si>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</si>
  <si>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</si>
  <si>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</si>
  <si>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</si>
  <si>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</si>
  <si>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</si>
  <si>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</si>
  <si>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</si>
  <si>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</si>
  <si>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</si>
  <si>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</si>
  <si>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</si>
  <si>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</si>
  <si>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</si>
  <si>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</si>
  <si>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</si>
  <si>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</si>
  <si>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</si>
  <si>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</si>
  <si>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</si>
  <si>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</si>
  <si>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</si>
  <si>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</si>
  <si>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</si>
  <si>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</si>
  <si>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</si>
  <si>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</si>
  <si>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</si>
  <si>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</si>
  <si>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</si>
  <si>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</si>
  <si>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</si>
  <si>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</si>
  <si>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</si>
  <si>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</si>
  <si>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</si>
  <si>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</si>
  <si>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</si>
  <si>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</si>
  <si>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</si>
  <si>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</si>
  <si>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</si>
  <si>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</si>
  <si>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</si>
  <si>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</si>
  <si>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</si>
  <si>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</si>
  <si>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</si>
  <si>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</si>
  <si>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</si>
  <si>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</si>
  <si>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</si>
  <si>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</si>
  <si>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</si>
  <si>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</si>
  <si>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</si>
  <si>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</si>
  <si>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</si>
  <si>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</si>
  <si>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</si>
  <si>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</si>
  <si>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</si>
  <si>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</si>
  <si>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</si>
  <si>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</si>
  <si>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</si>
  <si>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</si>
  <si>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</si>
  <si>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</si>
  <si>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</si>
  <si>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</si>
  <si>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</si>
  <si>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</si>
  <si>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</si>
  <si>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</si>
  <si>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</si>
  <si>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</si>
  <si>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</si>
  <si>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</si>
  <si>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</si>
  <si>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</si>
  <si>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</si>
  <si>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</si>
  <si>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</si>
  <si>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</si>
  <si>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</si>
  <si>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</si>
  <si>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</si>
  <si>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</si>
  <si>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</si>
  <si>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</si>
  <si>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</si>
  <si>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</si>
  <si>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</si>
  <si>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</si>
  <si>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</si>
  <si>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</si>
  <si>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</si>
  <si>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</si>
  <si>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</si>
  <si>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</si>
  <si>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</si>
  <si>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</si>
  <si>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</si>
  <si>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</si>
  <si>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</si>
  <si>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</si>
  <si>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</si>
  <si>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</si>
  <si>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</si>
  <si>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</si>
  <si>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</si>
  <si>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</si>
  <si>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</si>
  <si>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</si>
  <si>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</si>
  <si>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</si>
  <si>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</si>
  <si>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</si>
  <si>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</si>
  <si>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</si>
  <si>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</si>
  <si>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</si>
  <si>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</si>
  <si>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</si>
  <si>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</si>
  <si>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</si>
  <si>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</si>
  <si>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</si>
  <si>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</si>
  <si>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</si>
  <si>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</si>
  <si>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</si>
  <si>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</si>
  <si>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</si>
  <si>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</si>
  <si>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</si>
  <si>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</si>
  <si>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</si>
  <si>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</si>
  <si>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</si>
  <si>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</si>
  <si>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</si>
  <si>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</si>
  <si>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</si>
  <si>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</si>
  <si>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</si>
  <si>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</si>
  <si>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</si>
  <si>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</si>
  <si>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</si>
  <si>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</si>
  <si>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</si>
  <si>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</si>
  <si>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</si>
  <si>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</si>
  <si>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</si>
  <si>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</si>
  <si>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</si>
  <si>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</si>
  <si>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</si>
  <si>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</si>
  <si>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</si>
  <si>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H. Tuphile</t>
  </si>
  <si>
    <t xml:space="preserve">conforme AFNOR T90-395 oct. 2003</t>
  </si>
  <si>
    <t xml:space="preserve">GARDON D'ANDUZE</t>
  </si>
  <si>
    <t xml:space="preserve">Tornac</t>
  </si>
  <si>
    <t xml:space="preserve">06129000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</si>
  <si>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</si>
  <si>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</si>
  <si>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</si>
  <si>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</si>
  <si>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</si>
  <si>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</si>
  <si>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</si>
  <si>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</si>
  <si>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</si>
  <si>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</si>
  <si>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</si>
  <si>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</si>
  <si>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</si>
  <si>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</si>
  <si>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</si>
  <si>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</si>
  <si>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</si>
  <si>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</si>
  <si>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</si>
  <si>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</si>
  <si>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</si>
  <si>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</si>
  <si>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</si>
  <si>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</si>
  <si>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</si>
  <si>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</si>
  <si>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</si>
  <si>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</si>
  <si>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</si>
  <si>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</si>
  <si>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</si>
  <si>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</si>
  <si>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</si>
  <si>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</si>
  <si>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</si>
  <si>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</si>
  <si>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</si>
  <si>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</si>
  <si>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</si>
  <si>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</si>
  <si>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</si>
  <si>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</si>
  <si>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</si>
  <si>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</si>
  <si>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</si>
  <si>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</si>
  <si>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</si>
  <si>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</si>
  <si>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</si>
  <si>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</si>
  <si>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(30,49642 %)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</si>
  <si>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</si>
  <si>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</si>
  <si>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</si>
  <si>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</si>
  <si>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</si>
  <si>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</si>
  <si>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</si>
  <si>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</si>
  <si>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</si>
  <si>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</si>
  <si>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</si>
  <si>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</si>
  <si>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</si>
  <si>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</si>
  <si>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</si>
  <si>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</si>
  <si>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</si>
  <si>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</si>
  <si>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</si>
  <si>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</si>
  <si>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Fragilaria sp.</t>
  </si>
  <si>
    <t xml:space="preserve">Rorippa sylvestris</t>
  </si>
  <si>
    <t xml:space="preserve">Paspalum distichum</t>
  </si>
  <si>
    <t xml:space="preserve">Bidens frondosa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</si>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</sst>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M4" activeCellId="0" sqref="M4"/>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41514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7.8</v>
      </c>
      <c r="M5" s="323"/>
      <c r="N5" s="324" t="s">
        <v>160</v>
      </c>
      <c r="O5" s="325" t="n">
        <v>7.38095238095238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58</v>
      </c>
      <c r="C7" s="337" t="n">
        <v>42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5.94117647058824</v>
      </c>
      <c r="O8" s="354" t="n">
        <f aca="false">IF(ISERROR(AVERAGE(J23:J82)),"      -",AVERAGE(J23:J82))</f>
        <v>1.05882352941176</v>
      </c>
      <c r="P8" s="355"/>
      <c r="Q8" s="280"/>
      <c r="R8" s="280"/>
      <c r="S8" s="280"/>
      <c r="T8" s="280"/>
      <c r="U8" s="280"/>
      <c r="V8" s="280"/>
      <c r="W8" s="292"/>
      <c r="X8" s="293"/>
    </row>
    <row r="9" customFormat="false" ht="13.5" hidden="false" customHeight="false" outlineLevel="0" collapsed="false">
      <c r="A9" s="313" t="s">
        <v>2635</v>
      </c>
      <c r="B9" s="356" t="n">
        <v>16.8</v>
      </c>
      <c r="C9" s="357" t="n">
        <v>49.4</v>
      </c>
      <c r="D9" s="358"/>
      <c r="E9" s="358"/>
      <c r="F9" s="359" t="n">
        <f aca="false">($B9*$B$7+$C9*$C$7)/100</f>
        <v>30.492</v>
      </c>
      <c r="G9" s="360"/>
      <c r="H9" s="361"/>
      <c r="I9" s="362"/>
      <c r="J9" s="363"/>
      <c r="K9" s="343"/>
      <c r="L9" s="364"/>
      <c r="M9" s="353" t="s">
        <v>2636</v>
      </c>
      <c r="N9" s="354" t="n">
        <f aca="false">IF(ISERROR(STDEVP(I23:I82)),"     -",STDEVP(I23:I82))</f>
        <v>4.74615123622219</v>
      </c>
      <c r="O9" s="354" t="n">
        <f aca="false">IF(ISERROR(STDEVP(J23:J82)),"      -",STDEVP(J23:J82))</f>
        <v>0.872493939658313</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12</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9</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21</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17</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7</v>
      </c>
      <c r="L15" s="386"/>
      <c r="M15" s="407" t="s">
        <v>2654</v>
      </c>
      <c r="N15" s="408" t="n">
        <f aca="false">COUNTIF(J23:J82,"=1")</f>
        <v>7</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16.825</v>
      </c>
      <c r="C20" s="436" t="n">
        <f aca="false">SUM(C23:C82)</f>
        <v>49.376</v>
      </c>
      <c r="D20" s="437"/>
      <c r="E20" s="438" t="s">
        <v>2660</v>
      </c>
      <c r="F20" s="439" t="n">
        <f aca="false">($B20*$B$7+$C20*$C$7)/100</f>
        <v>30.49642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9.7585</v>
      </c>
      <c r="C21" s="449" t="n">
        <f aca="false">C20*C7/100</f>
        <v>20.73792</v>
      </c>
      <c r="D21" s="381" t="str">
        <f aca="false">IF(F21=0,"",IF((ABS(F21-F19))&gt;(0.2*F21),CONCATENATE(" rec. par taxa (",F21," %) supérieur à 20 % !"),""))</f>
        <v> rec. par taxa (30,49642 %) supérieur à 20 % !</v>
      </c>
      <c r="E21" s="450" t="str">
        <f aca="false">IF(F21=0,"",IF((ABS(F21-F19))&gt;(0.2*F21),CONCATENATE("ATTENTION : écart entre rec. par grp (",F19," %) ","et",""),""))</f>
        <v>ATTENTION : écart entre rec. par grp (0 %) et</v>
      </c>
      <c r="F21" s="451" t="n">
        <f aca="false">B21+C21</f>
        <v>30.49642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1.25</v>
      </c>
      <c r="C23" s="476" t="n">
        <v>3</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1.985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1.985</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0.005</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0.0029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0.0029</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160</v>
      </c>
      <c r="B25" s="494" t="n">
        <v>7</v>
      </c>
      <c r="C25" s="495" t="n">
        <v>20</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12.46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12.46</v>
      </c>
      <c r="R25" s="487" t="n">
        <f aca="false">IF(OR(ISTEXT(H25),Q25=0),"",IF(Q25&lt;0.1,1,IF(Q25&lt;1,2,IF(Q25&lt;10,3,IF(Q25&lt;50,4,IF(Q25&gt;=50,5,""))))))</f>
        <v>4</v>
      </c>
      <c r="S25" s="487" t="n">
        <f aca="false">IF(ISERROR(R25*I25),0,R25*I25)</f>
        <v>40</v>
      </c>
      <c r="T25" s="487" t="n">
        <f aca="false">IF(ISERROR(R25*I25*J25),0,R25*I25*J25)</f>
        <v>40</v>
      </c>
      <c r="U25" s="499" t="n">
        <f aca="false">IF(ISERROR(R25*J25),0,R25*J25)</f>
        <v>4</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223</v>
      </c>
      <c r="B26" s="494" t="n">
        <v>0.005</v>
      </c>
      <c r="C26" s="495"/>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0.0029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0.0029</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226</v>
      </c>
      <c r="B27" s="494"/>
      <c r="C27" s="495" t="n">
        <v>0.1</v>
      </c>
      <c r="D27" s="477" t="str">
        <f aca="false">IF(ISERROR(VLOOKUP($A27,'liste reference'!$A$7:$D$904,2,0)),IF(ISERROR(VLOOKUP($A27,'liste reference'!$B$7:$D$904,1,0)),"",VLOOKUP($A27,'liste reference'!$B$7:$D$904,1,0)),VLOOKUP($A27,'liste reference'!$A$7:$D$904,2,0))</f>
        <v>Oscillatoria sp.</v>
      </c>
      <c r="E27" s="496" t="e">
        <f aca="false">IF(D27="",0,VLOOKUP(D27,D$22:D26,1,0))</f>
        <v>#N/A</v>
      </c>
      <c r="F27" s="497" t="n">
        <f aca="false">($B27*$B$7+$C27*$C$7)/100</f>
        <v>0.042</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0.042</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489"/>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2.75" hidden="false" customHeight="false" outlineLevel="0" collapsed="false">
      <c r="A28" s="493" t="s">
        <v>241</v>
      </c>
      <c r="B28" s="494" t="n">
        <v>0.005</v>
      </c>
      <c r="C28" s="495"/>
      <c r="D28" s="477" t="str">
        <f aca="false">IF(ISERROR(VLOOKUP($A28,'liste reference'!$A$7:$D$904,2,0)),IF(ISERROR(VLOOKUP($A28,'liste reference'!$B$7:$D$904,1,0)),"",VLOOKUP($A28,'liste reference'!$B$7:$D$904,1,0)),VLOOKUP($A28,'liste reference'!$A$7:$D$904,2,0))</f>
        <v>Rhizoclonium sp.</v>
      </c>
      <c r="E28" s="496" t="e">
        <f aca="false">IF(D28="",0,VLOOKUP(D28,D$22:D27,1,0))</f>
        <v>#N/A</v>
      </c>
      <c r="F28" s="497" t="n">
        <f aca="false">($B28*$B$7+$C28*$C$7)/100</f>
        <v>0.0029</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Rhizoclonium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1125</v>
      </c>
      <c r="Q28" s="486" t="n">
        <f aca="false">IF(ISTEXT(H28),"",(B28*$B$7/100)+(C28*$C$7/100))</f>
        <v>0.0029</v>
      </c>
      <c r="R28" s="487" t="n">
        <f aca="false">IF(OR(ISTEXT(H28),Q28=0),"",IF(Q28&lt;0.1,1,IF(Q28&lt;1,2,IF(Q28&lt;10,3,IF(Q28&lt;50,4,IF(Q28&gt;=50,5,""))))))</f>
        <v>1</v>
      </c>
      <c r="S28" s="487" t="n">
        <f aca="false">IF(ISERROR(R28*I28),0,R28*I28)</f>
        <v>4</v>
      </c>
      <c r="T28" s="487" t="n">
        <f aca="false">IF(ISERROR(R28*I28*J28),0,R28*I28*J28)</f>
        <v>8</v>
      </c>
      <c r="U28" s="499" t="n">
        <f aca="false">IF(ISERROR(R28*J28),0,R28*J28)</f>
        <v>2</v>
      </c>
      <c r="V28" s="488" t="str">
        <f aca="false">IF(AND(A28="",F28=0),"",IF(F28=0,"Il manque le(s) % de rec. !",""))</f>
        <v/>
      </c>
      <c r="W28" s="500"/>
      <c r="Y28" s="490" t="str">
        <f aca="false">IF(A28="new.cod","NEWCOD",IF(AND((Z28=""),ISTEXT(A28)),A28,IF(Z28="","",INDEX('liste reference'!$A$8:$A$904,Z28))))</f>
        <v>RHISPX</v>
      </c>
      <c r="Z28" s="280" t="n">
        <f aca="false">IF(ISERROR(MATCH(A28,'liste reference'!$A$8:$A$904,0)),IF(ISERROR(MATCH(A28,'liste reference'!$B$8:$B$904,0)),"",(MATCH(A28,'liste reference'!$B$8:$B$904,0))),(MATCH(A28,'liste reference'!$A$8:$A$904,0)))</f>
        <v>62</v>
      </c>
      <c r="AA28" s="491"/>
      <c r="AB28" s="492"/>
      <c r="AC28" s="492"/>
      <c r="BB28" s="280" t="n">
        <f aca="false">IF(A28="","",1)</f>
        <v>1</v>
      </c>
    </row>
    <row r="29" customFormat="false" ht="12.75" hidden="false" customHeight="false" outlineLevel="0" collapsed="false">
      <c r="A29" s="493" t="s">
        <v>258</v>
      </c>
      <c r="B29" s="494" t="n">
        <v>0.5</v>
      </c>
      <c r="C29" s="495" t="n">
        <v>3.25</v>
      </c>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1.655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1.655</v>
      </c>
      <c r="R29" s="487" t="n">
        <f aca="false">IF(OR(ISTEXT(H29),Q29=0),"",IF(Q29&lt;0.1,1,IF(Q29&lt;1,2,IF(Q29&lt;10,3,IF(Q29&lt;50,4,IF(Q29&gt;=50,5,""))))))</f>
        <v>3</v>
      </c>
      <c r="S29" s="487" t="n">
        <f aca="false">IF(ISERROR(R29*I29),0,R29*I29)</f>
        <v>30</v>
      </c>
      <c r="T29" s="487" t="n">
        <f aca="false">IF(ISERROR(R29*I29*J29),0,R29*I29*J29)</f>
        <v>30</v>
      </c>
      <c r="U29" s="499" t="n">
        <f aca="false">IF(ISERROR(R29*J29),0,R29*J29)</f>
        <v>3</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267</v>
      </c>
      <c r="B30" s="494" t="n">
        <v>0.005</v>
      </c>
      <c r="C30" s="495"/>
      <c r="D30" s="477" t="str">
        <f aca="false">IF(ISERROR(VLOOKUP($A30,'liste reference'!$A$7:$D$904,2,0)),IF(ISERROR(VLOOKUP($A30,'liste reference'!$B$7:$D$904,1,0)),"",VLOOKUP($A30,'liste reference'!$B$7:$D$904,1,0)),VLOOKUP($A30,'liste reference'!$A$7:$D$904,2,0))</f>
        <v>Stigeoclonium tenue</v>
      </c>
      <c r="E30" s="496" t="e">
        <f aca="false">IF(D30="",0,VLOOKUP(D30,D$22:D29,1,0))</f>
        <v>#N/A</v>
      </c>
      <c r="F30" s="497" t="n">
        <f aca="false">($B30*$B$7+$C30*$C$7)/100</f>
        <v>0.0029</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Stigeoclonium tenue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5583</v>
      </c>
      <c r="Q30" s="486" t="n">
        <f aca="false">IF(ISTEXT(H30),"",(B30*$B$7/100)+(C30*$C$7/100))</f>
        <v>0.0029</v>
      </c>
      <c r="R30" s="487" t="n">
        <f aca="false">IF(OR(ISTEXT(H30),Q30=0),"",IF(Q30&lt;0.1,1,IF(Q30&lt;1,2,IF(Q30&lt;10,3,IF(Q30&lt;50,4,IF(Q30&gt;=50,5,""))))))</f>
        <v>1</v>
      </c>
      <c r="S30" s="487" t="n">
        <f aca="false">IF(ISERROR(R30*I30),0,R30*I30)</f>
        <v>1</v>
      </c>
      <c r="T30" s="487" t="n">
        <f aca="false">IF(ISERROR(R30*I30*J30),0,R30*I30*J30)</f>
        <v>3</v>
      </c>
      <c r="U30" s="499" t="n">
        <f aca="false">IF(ISERROR(R30*J30),0,R30*J30)</f>
        <v>3</v>
      </c>
      <c r="V30" s="488" t="str">
        <f aca="false">IF(AND(A30="",F30=0),"",IF(F30=0,"Il manque le(s) % de rec. !",""))</f>
        <v/>
      </c>
      <c r="W30" s="489"/>
      <c r="Y30" s="490" t="str">
        <f aca="false">IF(A30="new.cod","NEWCOD",IF(AND((Z30=""),ISTEXT(A30)),A30,IF(Z30="","",INDEX('liste reference'!$A$8:$A$904,Z30))))</f>
        <v>STITEN</v>
      </c>
      <c r="Z30" s="280" t="n">
        <f aca="false">IF(ISERROR(MATCH(A30,'liste reference'!$A$8:$A$904,0)),IF(ISERROR(MATCH(A30,'liste reference'!$B$8:$B$904,0)),"",(MATCH(A30,'liste reference'!$B$8:$B$904,0))),(MATCH(A30,'liste reference'!$A$8:$A$904,0)))</f>
        <v>72</v>
      </c>
      <c r="AA30" s="491" t="s">
        <v>2685</v>
      </c>
      <c r="AB30" s="492"/>
      <c r="AC30" s="492"/>
      <c r="BB30" s="280" t="n">
        <f aca="false">IF(A30="","",1)</f>
        <v>1</v>
      </c>
    </row>
    <row r="31" customFormat="false" ht="12.75" hidden="false" customHeight="false" outlineLevel="0" collapsed="false">
      <c r="A31" s="493" t="s">
        <v>270</v>
      </c>
      <c r="B31" s="494" t="n">
        <v>0.005</v>
      </c>
      <c r="C31" s="495"/>
      <c r="D31" s="477" t="str">
        <f aca="false">IF(ISERROR(VLOOKUP($A31,'liste reference'!$A$7:$D$904,2,0)),IF(ISERROR(VLOOKUP($A31,'liste reference'!$B$7:$D$904,1,0)),"",VLOOKUP($A31,'liste reference'!$B$7:$D$904,1,0)),VLOOKUP($A31,'liste reference'!$A$7:$D$904,2,0))</f>
        <v>Tetraspora sp.</v>
      </c>
      <c r="E31" s="496" t="e">
        <f aca="false">IF(D31="",0,VLOOKUP(D31,D$22:D30,1,0))</f>
        <v>#N/A</v>
      </c>
      <c r="F31" s="497" t="n">
        <f aca="false">($B31*$B$7+$C31*$C$7)/100</f>
        <v>0.0029</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Tetraspora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1138</v>
      </c>
      <c r="Q31" s="486" t="n">
        <f aca="false">IF(ISTEXT(H31),"",(B31*$B$7/100)+(C31*$C$7/100))</f>
        <v>0.0029</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TETSPX</v>
      </c>
      <c r="Z31" s="280" t="n">
        <f aca="false">IF(ISERROR(MATCH(A31,'liste reference'!$A$8:$A$904,0)),IF(ISERROR(MATCH(A31,'liste reference'!$B$8:$B$904,0)),"",(MATCH(A31,'liste reference'!$B$8:$B$904,0))),(MATCH(A31,'liste reference'!$A$8:$A$904,0)))</f>
        <v>73</v>
      </c>
      <c r="AA31" s="491"/>
      <c r="AB31" s="492"/>
      <c r="AC31" s="492"/>
      <c r="BB31" s="280" t="n">
        <f aca="false">IF(A31="","",1)</f>
        <v>1</v>
      </c>
    </row>
    <row r="32" customFormat="false" ht="12.75" hidden="false" customHeight="false" outlineLevel="0" collapsed="false">
      <c r="A32" s="493" t="s">
        <v>1153</v>
      </c>
      <c r="B32" s="494" t="n">
        <v>0.005</v>
      </c>
      <c r="C32" s="495" t="n">
        <v>0.005</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0.005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2.75" hidden="false" customHeight="false" outlineLevel="0" collapsed="false">
      <c r="A33" s="493" t="s">
        <v>1375</v>
      </c>
      <c r="B33" s="494"/>
      <c r="C33" s="495" t="n">
        <v>0.005</v>
      </c>
      <c r="D33" s="477" t="str">
        <f aca="false">IF(ISERROR(VLOOKUP($A33,'liste reference'!$A$7:$D$904,2,0)),IF(ISERROR(VLOOKUP($A33,'liste reference'!$B$7:$D$904,1,0)),"",VLOOKUP($A33,'liste reference'!$B$7:$D$904,1,0)),VLOOKUP($A33,'liste reference'!$A$7:$D$904,2,0))</f>
        <v>Myriophyllum spicatum</v>
      </c>
      <c r="E33" s="496" t="e">
        <f aca="false">IF(D33="",0,VLOOKUP(D33,D$22:D32,1,0))</f>
        <v>#N/A</v>
      </c>
      <c r="F33" s="497" t="n">
        <f aca="false">($B33*$B$7+$C33*$C$7)/100</f>
        <v>0.0021</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8</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Myriophyllum spicatum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1778</v>
      </c>
      <c r="Q33" s="486" t="n">
        <f aca="false">IF(ISTEXT(H33),"",(B33*$B$7/100)+(C33*$C$7/100))</f>
        <v>0.0021</v>
      </c>
      <c r="R33" s="487" t="n">
        <f aca="false">IF(OR(ISTEXT(H33),Q33=0),"",IF(Q33&lt;0.1,1,IF(Q33&lt;1,2,IF(Q33&lt;10,3,IF(Q33&lt;50,4,IF(Q33&gt;=50,5,""))))))</f>
        <v>1</v>
      </c>
      <c r="S33" s="487" t="n">
        <f aca="false">IF(ISERROR(R33*I33),0,R33*I33)</f>
        <v>8</v>
      </c>
      <c r="T33" s="487" t="n">
        <f aca="false">IF(ISERROR(R33*I33*J33),0,R33*I33*J33)</f>
        <v>16</v>
      </c>
      <c r="U33" s="499" t="n">
        <f aca="false">IF(ISERROR(R33*J33),0,R33*J33)</f>
        <v>2</v>
      </c>
      <c r="V33" s="488" t="str">
        <f aca="false">IF(AND(A33="",F33=0),"",IF(F33=0,"Il manque le(s) % de rec. !",""))</f>
        <v/>
      </c>
      <c r="W33" s="489"/>
      <c r="Y33" s="490" t="str">
        <f aca="false">IF(A33="new.cod","NEWCOD",IF(AND((Z33=""),ISTEXT(A33)),A33,IF(Z33="","",INDEX('liste reference'!$A$8:$A$904,Z33))))</f>
        <v>MYRSPI</v>
      </c>
      <c r="Z33" s="280" t="n">
        <f aca="false">IF(ISERROR(MATCH(A33,'liste reference'!$A$8:$A$904,0)),IF(ISERROR(MATCH(A33,'liste reference'!$B$8:$B$904,0)),"",(MATCH(A33,'liste reference'!$B$8:$B$904,0))),(MATCH(A33,'liste reference'!$A$8:$A$904,0)))</f>
        <v>373</v>
      </c>
      <c r="AA33" s="491"/>
      <c r="AB33" s="492"/>
      <c r="AC33" s="492"/>
      <c r="BB33" s="280" t="n">
        <f aca="false">IF(A33="","",1)</f>
        <v>1</v>
      </c>
    </row>
    <row r="34" customFormat="false" ht="12.75" hidden="false" customHeight="false" outlineLevel="0" collapsed="false">
      <c r="A34" s="493" t="s">
        <v>1708</v>
      </c>
      <c r="B34" s="494" t="n">
        <v>0.005</v>
      </c>
      <c r="C34" s="495" t="n">
        <v>0.005</v>
      </c>
      <c r="D34" s="477" t="str">
        <f aca="false">IF(ISERROR(VLOOKUP($A34,'liste reference'!$A$7:$D$904,2,0)),IF(ISERROR(VLOOKUP($A34,'liste reference'!$B$7:$D$904,1,0)),"",VLOOKUP($A34,'liste reference'!$B$7:$D$904,1,0)),VLOOKUP($A34,'liste reference'!$A$7:$D$904,2,0))</f>
        <v>Agrostis stolonifera</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Agrostis stolonifera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1543</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AGRSTO</v>
      </c>
      <c r="Z34" s="280" t="n">
        <f aca="false">IF(ISERROR(MATCH(A34,'liste reference'!$A$8:$A$904,0)),IF(ISERROR(MATCH(A34,'liste reference'!$B$8:$B$904,0)),"",(MATCH(A34,'liste reference'!$B$8:$B$904,0))),(MATCH(A34,'liste reference'!$A$8:$A$904,0)))</f>
        <v>514</v>
      </c>
      <c r="AA34" s="491"/>
      <c r="AB34" s="492"/>
      <c r="AC34" s="492"/>
      <c r="BB34" s="280" t="n">
        <f aca="false">IF(A34="","",1)</f>
        <v>1</v>
      </c>
    </row>
    <row r="35" customFormat="false" ht="12.75" hidden="false" customHeight="false" outlineLevel="0" collapsed="false">
      <c r="A35" s="493" t="s">
        <v>1923</v>
      </c>
      <c r="B35" s="494" t="n">
        <v>0.005</v>
      </c>
      <c r="C35" s="495"/>
      <c r="D35" s="477" t="str">
        <f aca="false">IF(ISERROR(VLOOKUP($A35,'liste reference'!$A$7:$D$904,2,0)),IF(ISERROR(VLOOKUP($A35,'liste reference'!$B$7:$D$904,1,0)),"",VLOOKUP($A35,'liste reference'!$B$7:$D$904,1,0)),VLOOKUP($A35,'liste reference'!$A$7:$D$904,2,0))</f>
        <v>Lysimachia vulgaris</v>
      </c>
      <c r="E35" s="496" t="e">
        <f aca="false">IF(D35="",0,VLOOKUP(D35,D$22:D34,1,0))</f>
        <v>#N/A</v>
      </c>
      <c r="F35" s="501" t="n">
        <f aca="false">($B35*$B$7+$C35*$C$7)/100</f>
        <v>0.0029</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Lysimachia vulgaris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1887</v>
      </c>
      <c r="Q35" s="486" t="n">
        <f aca="false">IF(ISTEXT(H35),"",(B35*$B$7/100)+(C35*$C$7/100))</f>
        <v>0.0029</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LYSVUL</v>
      </c>
      <c r="Z35" s="280" t="n">
        <f aca="false">IF(ISERROR(MATCH(A35,'liste reference'!$A$8:$A$904,0)),IF(ISERROR(MATCH(A35,'liste reference'!$B$8:$B$904,0)),"",(MATCH(A35,'liste reference'!$B$8:$B$904,0))),(MATCH(A35,'liste reference'!$A$8:$A$904,0)))</f>
        <v>601</v>
      </c>
      <c r="AA35" s="491"/>
      <c r="AB35" s="492"/>
      <c r="AC35" s="492"/>
      <c r="BB35" s="280" t="n">
        <f aca="false">IF(A35="","",1)</f>
        <v>1</v>
      </c>
    </row>
    <row r="36" customFormat="false" ht="12.75" hidden="false" customHeight="false" outlineLevel="0" collapsed="false">
      <c r="A36" s="493" t="s">
        <v>1932</v>
      </c>
      <c r="B36" s="494" t="n">
        <v>0.005</v>
      </c>
      <c r="C36" s="495"/>
      <c r="D36" s="477" t="str">
        <f aca="false">IF(ISERROR(VLOOKUP($A36,'liste reference'!$A$7:$D$904,2,0)),IF(ISERROR(VLOOKUP($A36,'liste reference'!$B$7:$D$904,1,0)),"",VLOOKUP($A36,'liste reference'!$B$7:$D$904,1,0)),VLOOKUP($A36,'liste reference'!$A$7:$D$904,2,0))</f>
        <v>Lythrum salicaria</v>
      </c>
      <c r="E36" s="496" t="e">
        <f aca="false">IF(D36="",0,VLOOKUP(D36,D$22:D35,1,0))</f>
        <v>#N/A</v>
      </c>
      <c r="F36" s="501" t="n">
        <f aca="false">($B36*$B$7+$C36*$C$7)/100</f>
        <v>0.0029</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Lythrum salicaria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1823</v>
      </c>
      <c r="Q36" s="486" t="n">
        <f aca="false">IF(ISTEXT(H36),"",(B36*$B$7/100)+(C36*$C$7/100))</f>
        <v>0.0029</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LYTSAL</v>
      </c>
      <c r="Z36" s="280" t="n">
        <f aca="false">IF(ISERROR(MATCH(A36,'liste reference'!$A$8:$A$904,0)),IF(ISERROR(MATCH(A36,'liste reference'!$B$8:$B$904,0)),"",(MATCH(A36,'liste reference'!$B$8:$B$904,0))),(MATCH(A36,'liste reference'!$A$8:$A$904,0)))</f>
        <v>605</v>
      </c>
      <c r="AA36" s="491"/>
      <c r="AB36" s="492"/>
      <c r="AC36" s="492"/>
      <c r="BB36" s="280" t="n">
        <f aca="false">IF(A36="","",1)</f>
        <v>1</v>
      </c>
    </row>
    <row r="37" customFormat="false" ht="12.75" hidden="false" customHeight="false" outlineLevel="0" collapsed="false">
      <c r="A37" s="493" t="s">
        <v>1984</v>
      </c>
      <c r="B37" s="494" t="n">
        <v>0.005</v>
      </c>
      <c r="C37" s="495" t="n">
        <v>0.005</v>
      </c>
      <c r="D37" s="477" t="str">
        <f aca="false">IF(ISERROR(VLOOKUP($A37,'liste reference'!$A$7:$D$904,2,0)),IF(ISERROR(VLOOKUP($A37,'liste reference'!$B$7:$D$904,1,0)),"",VLOOKUP($A37,'liste reference'!$B$7:$D$904,1,0)),VLOOKUP($A37,'liste reference'!$A$7:$D$904,2,0))</f>
        <v>Nasturtium officinale</v>
      </c>
      <c r="E37" s="496" t="e">
        <f aca="false">IF(D37="",0,VLOOKUP(D37,D$22:D36,1,0))</f>
        <v>#N/A</v>
      </c>
      <c r="F37" s="501" t="n">
        <f aca="false">($B37*$B$7+$C37*$C$7)/100</f>
        <v>0.005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Nasturtium officinale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1763</v>
      </c>
      <c r="Q37" s="486" t="n">
        <f aca="false">IF(ISTEXT(H37),"",(B37*$B$7/100)+(C37*$C$7/100))</f>
        <v>0.005</v>
      </c>
      <c r="R37" s="487" t="n">
        <f aca="false">IF(OR(ISTEXT(H37),Q37=0),"",IF(Q37&lt;0.1,1,IF(Q37&lt;1,2,IF(Q37&lt;10,3,IF(Q37&lt;50,4,IF(Q37&gt;=50,5,""))))))</f>
        <v>1</v>
      </c>
      <c r="S37" s="487" t="n">
        <f aca="false">IF(ISERROR(R37*I37),0,R37*I37)</f>
        <v>11</v>
      </c>
      <c r="T37" s="487" t="n">
        <f aca="false">IF(ISERROR(R37*I37*J37),0,R37*I37*J37)</f>
        <v>11</v>
      </c>
      <c r="U37" s="499" t="n">
        <f aca="false">IF(ISERROR(R37*J37),0,R37*J37)</f>
        <v>1</v>
      </c>
      <c r="V37" s="488" t="str">
        <f aca="false">IF(AND(A37="",F37=0),"",IF(F37=0,"Il manque le(s) % de rec. !",""))</f>
        <v/>
      </c>
      <c r="W37" s="489"/>
      <c r="Y37" s="490" t="str">
        <f aca="false">IF(A37="new.cod","NEWCOD",IF(AND((Z37=""),ISTEXT(A37)),A37,IF(Z37="","",INDEX('liste reference'!$A$8:$A$904,Z37))))</f>
        <v>NASOFF</v>
      </c>
      <c r="Z37" s="280" t="n">
        <f aca="false">IF(ISERROR(MATCH(A37,'liste reference'!$A$8:$A$904,0)),IF(ISERROR(MATCH(A37,'liste reference'!$B$8:$B$904,0)),"",(MATCH(A37,'liste reference'!$B$8:$B$904,0))),(MATCH(A37,'liste reference'!$A$8:$A$904,0)))</f>
        <v>628</v>
      </c>
      <c r="AA37" s="491"/>
      <c r="AB37" s="492"/>
      <c r="AC37" s="492"/>
      <c r="BB37" s="280" t="n">
        <f aca="false">IF(A37="","",1)</f>
        <v>1</v>
      </c>
    </row>
    <row r="38" customFormat="false" ht="12.75" hidden="false" customHeight="false" outlineLevel="0" collapsed="false">
      <c r="A38" s="493" t="s">
        <v>2318</v>
      </c>
      <c r="B38" s="494" t="n">
        <v>0.005</v>
      </c>
      <c r="C38" s="495"/>
      <c r="D38" s="477" t="str">
        <f aca="false">IF(ISERROR(VLOOKUP($A38,'liste reference'!$A$7:$D$904,2,0)),IF(ISERROR(VLOOKUP($A38,'liste reference'!$B$7:$D$904,1,0)),"",VLOOKUP($A38,'liste reference'!$B$7:$D$904,1,0)),VLOOKUP($A38,'liste reference'!$A$7:$D$904,2,0))</f>
        <v>Leersia oryzoides</v>
      </c>
      <c r="E38" s="496" t="e">
        <f aca="false">IF(D38="",0,VLOOKUP(D38,D$22:D37,1,0))</f>
        <v>#N/A</v>
      </c>
      <c r="F38" s="501" t="n">
        <f aca="false">($B38*$B$7+$C38*$C$7)/100</f>
        <v>0.0029</v>
      </c>
      <c r="G38" s="479" t="str">
        <f aca="false">IF(A38="","",IF(ISERROR(VLOOKUP($A38,'liste reference'!$A$7:$P$904,13,0)),IF(ISERROR(VLOOKUP($A38,'liste reference'!$B$7:$P$904,12,0)),"    -",VLOOKUP($A38,'liste reference'!$B$7:$P$904,12,0)),VLOOKUP($A38,'liste reference'!$A$7:$P$904,13,0)))</f>
        <v>PHg</v>
      </c>
      <c r="H38" s="480" t="n">
        <f aca="false">IF(A38="","x",IF(ISERROR(VLOOKUP($A38,'liste reference'!$A$8:$P$904,14,0)),IF(ISERROR(VLOOKUP($A38,'liste reference'!$B$8:$P$904,13,0)),"x",VLOOKUP($A38,'liste reference'!$B$8:$P$904,13,0)),VLOOKUP($A38,'liste reference'!$A$8:$P$904,14,0)))</f>
        <v>9</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Leersia oryzoides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1569</v>
      </c>
      <c r="Q38" s="486" t="n">
        <f aca="false">IF(ISTEXT(H38),"",(B38*$B$7/100)+(C38*$C$7/100))</f>
        <v>0.0029</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X38" s="489"/>
      <c r="Y38" s="490" t="str">
        <f aca="false">IF(A38="new.cod","NEWCOD",IF(AND((Z38=""),ISTEXT(A38)),A38,IF(Z38="","",INDEX('liste reference'!$A$8:$A$904,Z38))))</f>
        <v>LEEORY</v>
      </c>
      <c r="Z38" s="280" t="n">
        <f aca="false">IF(ISERROR(MATCH(A38,'liste reference'!$A$8:$A$904,0)),IF(ISERROR(MATCH(A38,'liste reference'!$B$8:$B$904,0)),"",(MATCH(A38,'liste reference'!$B$8:$B$904,0))),(MATCH(A38,'liste reference'!$A$8:$A$904,0)))</f>
        <v>773</v>
      </c>
      <c r="AA38" s="491"/>
      <c r="AB38" s="492"/>
      <c r="AC38" s="492"/>
      <c r="BB38" s="280" t="n">
        <f aca="false">IF(A38="","",1)</f>
        <v>1</v>
      </c>
    </row>
    <row r="39" customFormat="false" ht="12.75" hidden="false" customHeight="false" outlineLevel="0" collapsed="false">
      <c r="A39" s="493" t="s">
        <v>2390</v>
      </c>
      <c r="B39" s="494" t="n">
        <v>0.005</v>
      </c>
      <c r="C39" s="495"/>
      <c r="D39" s="477" t="str">
        <f aca="false">IF(ISERROR(VLOOKUP($A39,'liste reference'!$A$7:$D$904,2,0)),IF(ISERROR(VLOOKUP($A39,'liste reference'!$B$7:$D$904,1,0)),"",VLOOKUP($A39,'liste reference'!$B$7:$D$904,1,0)),VLOOKUP($A39,'liste reference'!$A$7:$D$904,2,0))</f>
        <v>Ranunculus repens</v>
      </c>
      <c r="E39" s="496" t="e">
        <f aca="false">IF(D39="",0,VLOOKUP(D39,D$22:D38,1,0))</f>
        <v>#N/A</v>
      </c>
      <c r="F39" s="501" t="n">
        <f aca="false">($B39*$B$7+$C39*$C$7)/100</f>
        <v>0.0029</v>
      </c>
      <c r="G39" s="479" t="str">
        <f aca="false">IF(A39="","",IF(ISERROR(VLOOKUP($A39,'liste reference'!$A$7:$P$904,13,0)),IF(ISERROR(VLOOKUP($A39,'liste reference'!$B$7:$P$904,12,0)),"    -",VLOOKUP($A39,'liste reference'!$B$7:$P$904,12,0)),VLOOKUP($A39,'liste reference'!$A$7:$P$904,13,0)))</f>
        <v>PHg</v>
      </c>
      <c r="H39" s="480" t="n">
        <f aca="false">IF(A39="","x",IF(ISERROR(VLOOKUP($A39,'liste reference'!$A$8:$P$904,14,0)),IF(ISERROR(VLOOKUP($A39,'liste reference'!$B$8:$P$904,13,0)),"x",VLOOKUP($A39,'liste reference'!$B$8:$P$904,13,0)),VLOOKUP($A39,'liste reference'!$A$8:$P$904,14,0)))</f>
        <v>9</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Ranunculus repens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1910</v>
      </c>
      <c r="Q39" s="486" t="n">
        <f aca="false">IF(ISTEXT(H39),"",(B39*$B$7/100)+(C39*$C$7/100))</f>
        <v>0.0029</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RANREP</v>
      </c>
      <c r="Z39" s="280" t="n">
        <f aca="false">IF(ISERROR(MATCH(A39,'liste reference'!$A$8:$A$904,0)),IF(ISERROR(MATCH(A39,'liste reference'!$B$8:$B$904,0)),"",(MATCH(A39,'liste reference'!$B$8:$B$904,0))),(MATCH(A39,'liste reference'!$A$8:$A$904,0)))</f>
        <v>803</v>
      </c>
      <c r="AA39" s="491"/>
      <c r="AB39" s="492"/>
      <c r="AC39" s="492"/>
      <c r="BB39" s="280" t="n">
        <f aca="false">IF(A39="","",1)</f>
        <v>1</v>
      </c>
    </row>
    <row r="40" customFormat="false" ht="12.75" hidden="false" customHeight="false" outlineLevel="0" collapsed="false">
      <c r="A40" s="493" t="s">
        <v>2686</v>
      </c>
      <c r="B40" s="494" t="n">
        <v>8</v>
      </c>
      <c r="C40" s="495" t="n">
        <v>23</v>
      </c>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14.3</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Fragilaria sp.</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2687</v>
      </c>
      <c r="AC40" s="492"/>
      <c r="BB40" s="280" t="n">
        <f aca="false">IF(A40="","",1)</f>
        <v>1</v>
      </c>
    </row>
    <row r="41" customFormat="false" ht="12.75" hidden="false" customHeight="false" outlineLevel="0" collapsed="false">
      <c r="A41" s="493" t="s">
        <v>2686</v>
      </c>
      <c r="B41" s="494" t="n">
        <v>0.01</v>
      </c>
      <c r="C41" s="495" t="n">
        <v>0.005</v>
      </c>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0.0079</v>
      </c>
      <c r="G41" s="479" t="str">
        <f aca="false">IF(A41="","",IF(ISERROR(VLOOKUP($A41,'liste reference'!$A$7:$P$904,13,0)),IF(ISERROR(VLOOKUP($A41,'liste reference'!$B$7:$P$904,12,0)),"    -",VLOOKUP($A41,'liste reference'!$B$7:$P$904,12,0)),VLOOKUP($A41,'liste reference'!$A$7:$P$904,13,0)))</f>
        <v>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Rorippa sylvestris</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No</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NEWCOD</v>
      </c>
      <c r="Z41" s="280" t="str">
        <f aca="false">IF(ISERROR(MATCH(A41,'liste reference'!$A$8:$A$904,0)),IF(ISERROR(MATCH(A41,'liste reference'!$B$8:$B$904,0)),"",(MATCH(A41,'liste reference'!$B$8:$B$904,0))),(MATCH(A41,'liste reference'!$A$8:$A$904,0)))</f>
        <v/>
      </c>
      <c r="AA41" s="491"/>
      <c r="AB41" s="492" t="s">
        <v>2688</v>
      </c>
      <c r="AC41" s="492"/>
      <c r="BB41" s="280" t="n">
        <f aca="false">IF(A41="","",1)</f>
        <v>1</v>
      </c>
    </row>
    <row r="42" customFormat="false" ht="12.75" hidden="false" customHeight="false" outlineLevel="0" collapsed="false">
      <c r="A42" s="493" t="s">
        <v>2686</v>
      </c>
      <c r="B42" s="494"/>
      <c r="C42" s="495" t="n">
        <v>0.001</v>
      </c>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0.00042</v>
      </c>
      <c r="G42" s="479" t="str">
        <f aca="false">IF(A42="","",IF(ISERROR(VLOOKUP($A42,'liste reference'!$A$7:$P$904,13,0)),IF(ISERROR(VLOOKUP($A42,'liste reference'!$B$7:$P$904,12,0)),"    -",VLOOKUP($A42,'liste reference'!$B$7:$P$904,12,0)),VLOOKUP($A42,'liste reference'!$A$7:$P$904,13,0)))</f>
        <v>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Paspalum distichum</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No</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NEWCOD</v>
      </c>
      <c r="Z42" s="280" t="str">
        <f aca="false">IF(ISERROR(MATCH(A42,'liste reference'!$A$8:$A$904,0)),IF(ISERROR(MATCH(A42,'liste reference'!$B$8:$B$904,0)),"",(MATCH(A42,'liste reference'!$B$8:$B$904,0))),(MATCH(A42,'liste reference'!$A$8:$A$904,0)))</f>
        <v/>
      </c>
      <c r="AA42" s="491"/>
      <c r="AB42" s="492" t="s">
        <v>2689</v>
      </c>
      <c r="AC42" s="492"/>
      <c r="BB42" s="280" t="n">
        <f aca="false">IF(A42="","",1)</f>
        <v>1</v>
      </c>
    </row>
    <row r="43" customFormat="false" ht="12.75" hidden="false" customHeight="false" outlineLevel="0" collapsed="false">
      <c r="A43" s="493" t="s">
        <v>2686</v>
      </c>
      <c r="B43" s="494" t="n">
        <v>0.005</v>
      </c>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0.0029</v>
      </c>
      <c r="G43" s="479" t="str">
        <f aca="false">IF(A43="","",IF(ISERROR(VLOOKUP($A43,'liste reference'!$A$7:$P$904,13,0)),IF(ISERROR(VLOOKUP($A43,'liste reference'!$B$7:$P$904,12,0)),"    -",VLOOKUP($A43,'liste reference'!$B$7:$P$904,12,0)),VLOOKUP($A43,'liste reference'!$A$7:$P$904,13,0)))</f>
        <v>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Bidens frondosa</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No</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NEWCOD</v>
      </c>
      <c r="Z43" s="280" t="str">
        <f aca="false">IF(ISERROR(MATCH(A43,'liste reference'!$A$8:$A$904,0)),IF(ISERROR(MATCH(A43,'liste reference'!$B$8:$B$904,0)),"",(MATCH(A43,'liste reference'!$B$8:$B$904,0))),(MATCH(A43,'liste reference'!$A$8:$A$904,0)))</f>
        <v/>
      </c>
      <c r="AA43" s="491"/>
      <c r="AB43" s="492" t="s">
        <v>2690</v>
      </c>
      <c r="AC43" s="492"/>
      <c r="BB43" s="280" t="n">
        <f aca="false">IF(A43="","",1)</f>
        <v>1</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GARDON D'ANDUZE</v>
      </c>
      <c r="B84" s="529" t="str">
        <f aca="false">C3</f>
        <v>Tornac</v>
      </c>
      <c r="C84" s="530" t="n">
        <f aca="false">A4</f>
        <v>41514</v>
      </c>
      <c r="D84" s="531" t="n">
        <f aca="false">IF(ISERROR(SUM($T$23:$T$82)/SUM($U$23:$U$82)),"",SUM($T$23:$T$82)/SUM($U$23:$U$82))</f>
        <v>7.8</v>
      </c>
      <c r="E84" s="532" t="n">
        <f aca="false">N13</f>
        <v>21</v>
      </c>
      <c r="F84" s="529" t="n">
        <f aca="false">N14</f>
        <v>17</v>
      </c>
      <c r="G84" s="529" t="n">
        <f aca="false">N15</f>
        <v>7</v>
      </c>
      <c r="H84" s="529" t="n">
        <f aca="false">N16</f>
        <v>4</v>
      </c>
      <c r="I84" s="529" t="n">
        <f aca="false">N17</f>
        <v>1</v>
      </c>
      <c r="J84" s="533" t="n">
        <f aca="false">N8</f>
        <v>5.94117647058824</v>
      </c>
      <c r="K84" s="531" t="n">
        <f aca="false">N9</f>
        <v>4.74615123622219</v>
      </c>
      <c r="L84" s="532" t="n">
        <f aca="false">N10</f>
        <v>0</v>
      </c>
      <c r="M84" s="532" t="n">
        <f aca="false">N11</f>
        <v>12</v>
      </c>
      <c r="N84" s="531" t="n">
        <f aca="false">O8</f>
        <v>1.05882352941176</v>
      </c>
      <c r="O84" s="531" t="n">
        <f aca="false">O9</f>
        <v>0.872493939658313</v>
      </c>
      <c r="P84" s="532" t="n">
        <f aca="false">O10</f>
        <v>0</v>
      </c>
      <c r="Q84" s="532" t="n">
        <f aca="false">O11</f>
        <v>3</v>
      </c>
      <c r="R84" s="532" t="n">
        <f aca="false">F21</f>
        <v>30.49642</v>
      </c>
      <c r="S84" s="532" t="n">
        <f aca="false">K11</f>
        <v>0</v>
      </c>
      <c r="T84" s="532" t="n">
        <f aca="false">K12</f>
        <v>9</v>
      </c>
      <c r="U84" s="532" t="n">
        <f aca="false">K13</f>
        <v>0</v>
      </c>
      <c r="V84" s="534" t="n">
        <f aca="false">K14</f>
        <v>1</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40</v>
      </c>
      <c r="T87" s="280"/>
      <c r="U87" s="280"/>
      <c r="V87" s="280"/>
    </row>
    <row r="88" customFormat="false" ht="12.75" hidden="true" customHeight="false" outlineLevel="0" collapsed="false">
      <c r="P88" s="280"/>
      <c r="Q88" s="280" t="s">
        <v>2694</v>
      </c>
      <c r="R88" s="280"/>
      <c r="S88" s="488" t="n">
        <f aca="false">VLOOKUP((S87),($S$23:$U$82),2,0)</f>
        <v>40</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7.38095238095238</v>
      </c>
      <c r="T90" s="280"/>
    </row>
    <row r="91" customFormat="false" ht="12.75" hidden="false" customHeight="false" outlineLevel="0" collapsed="false">
      <c r="Q91" s="487" t="s">
        <v>2697</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2698</v>
      </c>
      <c r="R92" s="280"/>
      <c r="S92" s="280" t="n">
        <f aca="false">MATCH(S87,$S$23:$S$82,0)</f>
        <v>3</v>
      </c>
      <c r="T92" s="280"/>
    </row>
    <row r="93" customFormat="false" ht="12.75" hidden="false" customHeight="false" outlineLevel="0" collapsed="false">
      <c r="Q93" s="487" t="s">
        <v>2699</v>
      </c>
      <c r="R93" s="280"/>
      <c r="S93" s="487" t="str">
        <f aca="false">INDEX($A$23:$A$82,$S$92)</f>
        <v>MELSPX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2723</v>
      </c>
    </row>
    <row r="37" customFormat="false" ht="15" hidden="false" customHeight="false" outlineLevel="0" collapsed="false">
      <c r="A37" s="565" t="s">
        <v>2142</v>
      </c>
      <c r="B37" s="566" t="s">
        <v>2724</v>
      </c>
      <c r="C37" s="568"/>
      <c r="D37" s="569"/>
      <c r="F37" s="585" t="s">
        <v>2725</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2014-04-09T10:41:26Z</dcterms:modified>
  <cp:revision>0</cp:revision>
  <dc:subject/>
  <dc:title>Feuille d'aide au calcul de l'IBMR</dc:title>
</cp:coreProperties>
</file>