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<sst xmlns="http://schemas.openxmlformats.org/spreadsheetml/2006/main" count="175" uniqueCount="109">
  <si>
    <t xml:space="preserve">Relevés floristiques aquatiques - IBMR</t>
  </si>
  <si>
    <t xml:space="preserve">modèle Irstea-GIS</t>
  </si>
  <si>
    <t xml:space="preserve">SAGE ENVIRONNEMENT</t>
  </si>
  <si>
    <t xml:space="preserve">P. BELLY S. RENAHY</t>
  </si>
  <si>
    <t xml:space="preserve">BOURNE</t>
  </si>
  <si>
    <t xml:space="preserve">BOURNE A CHORANCHE 1</t>
  </si>
  <si>
    <t xml:space="preserve">06147840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</si>
  <si>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</si>
  <si>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</si>
  <si>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</si>
  <si>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</si>
  <si>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</si>
  <si>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</si>
  <si>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</si>
  <si>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</si>
  <si>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</si>
  <si>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CINAQU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</si>
  <si>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</si>
  <si>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</si>
  <si>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</si>
  <si>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</si>
  <si>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</si>
  <si>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</si>
  <si>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</si>
  <si>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</si>
  <si>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</si>
  <si>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</si>
  <si>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</si>
  <si>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</si>
  <si>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</si>
  <si>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</si>
  <si>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</si>
  <si>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</si>
  <si>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</si>
  <si>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</si>
  <si>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</si>
  <si>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</si>
  <si>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</si>
  <si>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</si>
  <si>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</si>
  <si>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</si>
  <si>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</si>
  <si>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</si>
  <si>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</si>
  <si>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</si>
  <si>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</si>
  <si>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</si>
  <si>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</si>
  <si>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</si>
  <si>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</si>
  <si>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</si>
  <si>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</si>
  <si>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</si>
  <si>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</si>
  <si>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</si>
  <si>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</si>
  <si>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</si>
  <si>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</si>
  <si>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</si>
  <si>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</si>
  <si>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</si>
  <si>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</si>
  <si>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</si>
  <si>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</si>
  <si>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</si>
  <si>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</si>
  <si>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</si>
  <si>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</si>
  <si>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</si>
  <si>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</si>
  <si>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</si>
  <si>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</si>
  <si>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</si>
  <si>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</si>
  <si>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</si>
  <si>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</si>
  <si>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</si>
  <si>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</si>
  <si>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</si>
  <si>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AUDSPX</t>
  </si>
  <si>
    <t xml:space="preserve"> -</t>
  </si>
  <si>
    <t xml:space="preserve">CLASPX</t>
  </si>
  <si>
    <t xml:space="preserve">DIASPX</t>
  </si>
  <si>
    <t xml:space="preserve">ENCSPX</t>
  </si>
  <si>
    <t xml:space="preserve">MELSPX</t>
  </si>
  <si>
    <t xml:space="preserve">OEDSPX</t>
  </si>
  <si>
    <t xml:space="preserve">SPISPX</t>
  </si>
  <si>
    <t xml:space="preserve">TETSPX</t>
  </si>
  <si>
    <t xml:space="preserve">TRISPX</t>
  </si>
  <si>
    <t xml:space="preserve">ULOSPX</t>
  </si>
  <si>
    <t xml:space="preserve">ZYGSPX</t>
  </si>
  <si>
    <t xml:space="preserve">MACPOL</t>
  </si>
  <si>
    <t xml:space="preserve">PELEND</t>
  </si>
  <si>
    <t xml:space="preserve">RICCHA</t>
  </si>
  <si>
    <t xml:space="preserve">BRARIV</t>
  </si>
  <si>
    <t xml:space="preserve">CINFON</t>
  </si>
  <si>
    <t xml:space="preserve">CINRIP</t>
  </si>
  <si>
    <t xml:space="preserve">FONANT</t>
  </si>
  <si>
    <t xml:space="preserve">HYATEN</t>
  </si>
  <si>
    <t xml:space="preserve">LEORIP</t>
  </si>
  <si>
    <t xml:space="preserve">PALCOM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</si>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</sst>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BOUCHO_08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42193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11.7222222222222</v>
      </c>
      <c r="N5" s="51"/>
      <c r="O5" s="52" t="s">
        <v>16</v>
      </c>
      <c r="P5" s="53" t="n">
        <v>11.1521739130435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90</v>
      </c>
      <c r="C7" s="69" t="n">
        <v>10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11.4736842105263</v>
      </c>
      <c r="P8" s="83" t="n">
        <f aca="false">IF(ISERROR(AVERAGE(K23:K82)),"  ",AVERAGE(K23:K82))</f>
        <v>1.73684210526316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37.55</v>
      </c>
      <c r="C9" s="86" t="n">
        <v>44.78</v>
      </c>
      <c r="D9" s="87"/>
      <c r="E9" s="87"/>
      <c r="F9" s="88" t="n">
        <f aca="false">($B9*$B$7+$C9*$C$7)/100</f>
        <v>38.273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3.08422848925971</v>
      </c>
      <c r="P9" s="83" t="n">
        <f aca="false">IF(ISERROR(STDEVP(K23:K82)),"  ",STDEVP(K23:K82))</f>
        <v>0.546963412916488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5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15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5.25</v>
      </c>
      <c r="C12" s="111" t="n">
        <v>22.74</v>
      </c>
      <c r="D12" s="87"/>
      <c r="E12" s="87"/>
      <c r="F12" s="104" t="n">
        <f aca="false">($B12*$B$7+$C12*$C$7)/100</f>
        <v>6.999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11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32.3</v>
      </c>
      <c r="C13" s="111" t="n">
        <v>22.04</v>
      </c>
      <c r="D13" s="87"/>
      <c r="E13" s="87"/>
      <c r="F13" s="104" t="n">
        <f aca="false">($B13*$B$7+$C13*$C$7)/100</f>
        <v>31.274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11</v>
      </c>
      <c r="M13" s="108"/>
      <c r="N13" s="116" t="s">
        <v>41</v>
      </c>
      <c r="O13" s="117" t="n">
        <f aca="false">COUNTIF(F23:F82,"&gt;0")</f>
        <v>22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19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47</v>
      </c>
      <c r="O15" s="117" t="n">
        <f aca="false">COUNTIF(K23:K82,"=1")</f>
        <v>6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12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37.55</v>
      </c>
      <c r="C17" s="111" t="n">
        <v>44.78</v>
      </c>
      <c r="D17" s="87"/>
      <c r="E17" s="87"/>
      <c r="F17" s="129"/>
      <c r="G17" s="130" t="n">
        <f aca="false">($B17*$B$7+$C17*$C$7)/100</f>
        <v>38.273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0.863636363636364</v>
      </c>
      <c r="N17" s="116" t="s">
        <v>52</v>
      </c>
      <c r="O17" s="117" t="n">
        <f aca="false">COUNTIF(K23:K82,"=3")</f>
        <v>1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/>
      <c r="D18" s="87"/>
      <c r="E18" s="139" t="s">
        <v>54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38.273</v>
      </c>
      <c r="G19" s="150" t="n">
        <f aca="false">SUM(G16:G18)</f>
        <v>38.273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37.55</v>
      </c>
      <c r="C20" s="160" t="n">
        <f aca="false">SUM(C23:C62)</f>
        <v>44.78</v>
      </c>
      <c r="D20" s="161"/>
      <c r="E20" s="162" t="s">
        <v>54</v>
      </c>
      <c r="F20" s="163" t="n">
        <f aca="false">($B20*$B$7+$C20*$C$7)/100</f>
        <v>38.273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33.795</v>
      </c>
      <c r="C21" s="171" t="n">
        <f aca="false">C20*C7/100</f>
        <v>4.478</v>
      </c>
      <c r="D21" s="172" t="s">
        <v>57</v>
      </c>
      <c r="E21" s="173"/>
      <c r="F21" s="174" t="n">
        <f aca="false">B21+C21</f>
        <v>38.273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0.1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Audouinella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0.09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13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Audouinella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6076</v>
      </c>
      <c r="R23" s="211" t="n">
        <f aca="false">IF(ISTEXT(H23),"",(B23*$B$7/100)+(C23*$C$7/100))</f>
        <v>0.09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13</v>
      </c>
      <c r="U23" s="212" t="n">
        <f aca="false">IF(ISERROR(S23*J23*K23),0,S23*J23*K23)</f>
        <v>26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AUDSPX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7</v>
      </c>
    </row>
    <row r="24" customFormat="false" ht="12.75" hidden="false" customHeight="false" outlineLevel="0" collapsed="false">
      <c r="A24" s="216" t="s">
        <v>81</v>
      </c>
      <c r="B24" s="217" t="n">
        <v>4.85</v>
      </c>
      <c r="C24" s="218" t="n">
        <v>0.11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Cladophora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4.376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6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1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Cladophora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1124</v>
      </c>
      <c r="R24" s="211" t="n">
        <f aca="false">IF(ISTEXT(H24),"",(B24*$B$7/100)+(C24*$C$7/100))</f>
        <v>4.376</v>
      </c>
      <c r="S24" s="212" t="n">
        <f aca="false">IF(OR(ISTEXT(H24),R24=0),"",IF(R24&lt;0.1,1,IF(R24&lt;1,2,IF(R24&lt;10,3,IF(R24&lt;50,4,IF(R24&gt;=50,5,""))))))</f>
        <v>3</v>
      </c>
      <c r="T24" s="212" t="n">
        <f aca="false">IF(ISERROR(S24*J24),0,S24*J24)</f>
        <v>18</v>
      </c>
      <c r="U24" s="212" t="n">
        <f aca="false">IF(ISERROR(S24*J24*K24),0,S24*J24*K24)</f>
        <v>18</v>
      </c>
      <c r="V24" s="228" t="n">
        <f aca="false">IF(ISERROR(S24*K24),0,S24*K24)</f>
        <v>3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CLASPX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35</v>
      </c>
    </row>
    <row r="25" customFormat="false" ht="12.75" hidden="false" customHeight="false" outlineLevel="0" collapsed="false">
      <c r="A25" s="216" t="s">
        <v>82</v>
      </c>
      <c r="B25" s="217" t="n">
        <v>0</v>
      </c>
      <c r="C25" s="218" t="n">
        <v>0.01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Diatoma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0.001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12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Diatoma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6627</v>
      </c>
      <c r="R25" s="211" t="n">
        <f aca="false">IF(ISTEXT(H25),"",(B25*$B$7/100)+(C25*$C$7/100))</f>
        <v>0.001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12</v>
      </c>
      <c r="U25" s="212" t="n">
        <f aca="false">IF(ISERROR(S25*J25*K25),0,S25*J25*K25)</f>
        <v>24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DIASPX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40</v>
      </c>
    </row>
    <row r="26" customFormat="false" ht="12.75" hidden="false" customHeight="false" outlineLevel="0" collapsed="false">
      <c r="A26" s="216" t="s">
        <v>83</v>
      </c>
      <c r="B26" s="217" t="n">
        <v>0.05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Encyonema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0.045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str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nc</v>
      </c>
      <c r="K26" s="224" t="str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nc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Encyonema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9378</v>
      </c>
      <c r="R26" s="211" t="n">
        <f aca="false">IF(ISTEXT(H26),"",(B26*$B$7/100)+(C26*$C$7/100))</f>
        <v>0.045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0</v>
      </c>
      <c r="U26" s="212" t="n">
        <f aca="false">IF(ISERROR(S26*J26*K26),0,S26*J26*K26)</f>
        <v>0</v>
      </c>
      <c r="V26" s="228" t="n">
        <f aca="false">IF(ISERROR(S26*K26),0,S26*K26)</f>
        <v>0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ENCSPX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45</v>
      </c>
    </row>
    <row r="27" customFormat="false" ht="12.75" hidden="false" customHeight="false" outlineLevel="0" collapsed="false">
      <c r="A27" s="216" t="s">
        <v>84</v>
      </c>
      <c r="B27" s="217" t="n">
        <v>0</v>
      </c>
      <c r="C27" s="218" t="n">
        <v>0.01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Melosira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0.001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10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Melosira sp.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8714</v>
      </c>
      <c r="R27" s="211" t="n">
        <f aca="false">IF(ISTEXT(H27),"",(B27*$B$7/100)+(C27*$C$7/100))</f>
        <v>0.001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10</v>
      </c>
      <c r="U27" s="212" t="n">
        <f aca="false">IF(ISERROR(S27*J27*K27),0,S27*J27*K27)</f>
        <v>10</v>
      </c>
      <c r="V27" s="228" t="n">
        <f aca="false">IF(ISERROR(S27*K27),0,S27*K27)</f>
        <v>1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MELSPX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62</v>
      </c>
    </row>
    <row r="28" customFormat="false" ht="12.75" hidden="false" customHeight="false" outlineLevel="0" collapsed="false">
      <c r="A28" s="216" t="s">
        <v>85</v>
      </c>
      <c r="B28" s="217" t="n">
        <v>0.22</v>
      </c>
      <c r="C28" s="218" t="n">
        <v>9.61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Oedogonium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1.159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6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Oedogonium sp.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1134</v>
      </c>
      <c r="R28" s="211" t="n">
        <f aca="false">IF(ISTEXT(H28),"",(B28*$B$7/100)+(C28*$C$7/100))</f>
        <v>1.159</v>
      </c>
      <c r="S28" s="212" t="n">
        <f aca="false">IF(OR(ISTEXT(H28),R28=0),"",IF(R28&lt;0.1,1,IF(R28&lt;1,2,IF(R28&lt;10,3,IF(R28&lt;50,4,IF(R28&gt;=50,5,""))))))</f>
        <v>3</v>
      </c>
      <c r="T28" s="212" t="n">
        <f aca="false">IF(ISERROR(S28*J28),0,S28*J28)</f>
        <v>18</v>
      </c>
      <c r="U28" s="212" t="n">
        <f aca="false">IF(ISERROR(S28*J28*K28),0,S28*J28*K28)</f>
        <v>36</v>
      </c>
      <c r="V28" s="228" t="n">
        <f aca="false">IF(ISERROR(S28*K28),0,S28*K28)</f>
        <v>6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OEDSPX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85</v>
      </c>
    </row>
    <row r="29" customFormat="false" ht="12.75" hidden="false" customHeight="false" outlineLevel="0" collapsed="false">
      <c r="A29" s="216" t="s">
        <v>86</v>
      </c>
      <c r="B29" s="217" t="n">
        <v>0.01</v>
      </c>
      <c r="C29" s="218" t="n">
        <v>12.39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Spirogyra sp.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1.248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10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Spirogyra sp.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1147</v>
      </c>
      <c r="R29" s="211" t="n">
        <f aca="false">IF(ISTEXT(H29),"",(B29*$B$7/100)+(C29*$C$7/100))</f>
        <v>1.248</v>
      </c>
      <c r="S29" s="212" t="n">
        <f aca="false">IF(OR(ISTEXT(H29),R29=0),"",IF(R29&lt;0.1,1,IF(R29&lt;1,2,IF(R29&lt;10,3,IF(R29&lt;50,4,IF(R29&gt;=50,5,""))))))</f>
        <v>3</v>
      </c>
      <c r="T29" s="212" t="n">
        <f aca="false">IF(ISERROR(S29*J29),0,S29*J29)</f>
        <v>30</v>
      </c>
      <c r="U29" s="212" t="n">
        <f aca="false">IF(ISERROR(S29*J29*K29),0,S29*J29*K29)</f>
        <v>30</v>
      </c>
      <c r="V29" s="228" t="n">
        <f aca="false">IF(ISERROR(S29*K29),0,S29*K29)</f>
        <v>3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SPISPX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102</v>
      </c>
    </row>
    <row r="30" customFormat="false" ht="12.75" hidden="false" customHeight="false" outlineLevel="0" collapsed="false">
      <c r="A30" s="216" t="s">
        <v>87</v>
      </c>
      <c r="B30" s="217" t="n">
        <v>0</v>
      </c>
      <c r="C30" s="218" t="n">
        <v>0.5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Tetraspora sp.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0.05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ALG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2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12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Tetraspora sp.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1138</v>
      </c>
      <c r="R30" s="211" t="n">
        <f aca="false">IF(ISTEXT(H30),"",(B30*$B$7/100)+(C30*$C$7/100))</f>
        <v>0.05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12</v>
      </c>
      <c r="U30" s="212" t="n">
        <f aca="false">IF(ISERROR(S30*J30*K30),0,S30*J30*K30)</f>
        <v>12</v>
      </c>
      <c r="V30" s="228" t="n">
        <f aca="false">IF(ISERROR(S30*K30),0,S30*K30)</f>
        <v>1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TETSPX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107</v>
      </c>
    </row>
    <row r="31" customFormat="false" ht="12.75" hidden="false" customHeight="false" outlineLevel="0" collapsed="false">
      <c r="A31" s="216" t="s">
        <v>88</v>
      </c>
      <c r="B31" s="217" t="n">
        <v>0.01</v>
      </c>
      <c r="C31" s="218" t="n">
        <v>0.01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Tribonema sp.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0.01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ALG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2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11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Tribonema sp.</v>
      </c>
      <c r="M31" s="225"/>
      <c r="N31" s="225"/>
      <c r="O31" s="225"/>
      <c r="P31" s="226" t="s">
        <v>80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1167</v>
      </c>
      <c r="R31" s="211" t="n">
        <f aca="false">IF(ISTEXT(H31),"",(B31*$B$7/100)+(C31*$C$7/100))</f>
        <v>0.01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11</v>
      </c>
      <c r="U31" s="212" t="n">
        <f aca="false">IF(ISERROR(S31*J31*K31),0,S31*J31*K31)</f>
        <v>22</v>
      </c>
      <c r="V31" s="228" t="n">
        <f aca="false">IF(ISERROR(S31*K31),0,S31*K31)</f>
        <v>2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TRISPX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115</v>
      </c>
    </row>
    <row r="32" customFormat="false" ht="12.75" hidden="false" customHeight="false" outlineLevel="0" collapsed="false">
      <c r="A32" s="216" t="s">
        <v>89</v>
      </c>
      <c r="B32" s="217" t="n">
        <v>0.01</v>
      </c>
      <c r="C32" s="218" t="n">
        <v>0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Ulothrix sp.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0.009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ALG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2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10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1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Ulothrix sp.</v>
      </c>
      <c r="M32" s="225"/>
      <c r="N32" s="225"/>
      <c r="O32" s="225"/>
      <c r="P32" s="226" t="s">
        <v>80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1142</v>
      </c>
      <c r="R32" s="211" t="n">
        <f aca="false">IF(ISTEXT(H32),"",(B32*$B$7/100)+(C32*$C$7/100))</f>
        <v>0.009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10</v>
      </c>
      <c r="U32" s="212" t="n">
        <f aca="false">IF(ISERROR(S32*J32*K32),0,S32*J32*K32)</f>
        <v>10</v>
      </c>
      <c r="V32" s="228" t="n">
        <f aca="false">IF(ISERROR(S32*K32),0,S32*K32)</f>
        <v>1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ULOSPX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116</v>
      </c>
    </row>
    <row r="33" customFormat="false" ht="12.75" hidden="false" customHeight="false" outlineLevel="0" collapsed="false">
      <c r="A33" s="216" t="s">
        <v>90</v>
      </c>
      <c r="B33" s="217" t="n">
        <v>0</v>
      </c>
      <c r="C33" s="218" t="n">
        <v>0.1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Zygnema sp.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0.01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ALG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2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13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3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Zygnema sp.</v>
      </c>
      <c r="M33" s="225"/>
      <c r="N33" s="225"/>
      <c r="O33" s="225"/>
      <c r="P33" s="226" t="s">
        <v>80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1148</v>
      </c>
      <c r="R33" s="211" t="n">
        <f aca="false">IF(ISTEXT(H33),"",(B33*$B$7/100)+(C33*$C$7/100))</f>
        <v>0.01</v>
      </c>
      <c r="S33" s="212" t="n">
        <f aca="false">IF(OR(ISTEXT(H33),R33=0),"",IF(R33&lt;0.1,1,IF(R33&lt;1,2,IF(R33&lt;10,3,IF(R33&lt;50,4,IF(R33&gt;=50,5,""))))))</f>
        <v>1</v>
      </c>
      <c r="T33" s="212" t="n">
        <f aca="false">IF(ISERROR(S33*J33),0,S33*J33)</f>
        <v>13</v>
      </c>
      <c r="U33" s="212" t="n">
        <f aca="false">IF(ISERROR(S33*J33*K33),0,S33*J33*K33)</f>
        <v>39</v>
      </c>
      <c r="V33" s="228" t="n">
        <f aca="false">IF(ISERROR(S33*K33),0,S33*K33)</f>
        <v>3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ZYGSPX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119</v>
      </c>
    </row>
    <row r="34" customFormat="false" ht="12.75" hidden="false" customHeight="false" outlineLevel="0" collapsed="false">
      <c r="A34" s="216" t="s">
        <v>91</v>
      </c>
      <c r="B34" s="217" t="n">
        <v>0</v>
      </c>
      <c r="C34" s="218" t="n">
        <v>0.01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Marchantia polymorpha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0.001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BRh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4</v>
      </c>
      <c r="I34" s="8" t="n">
        <f aca="false">IF(A34="","",1)</f>
        <v>1</v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nc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nc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Marchantia polymorpha</v>
      </c>
      <c r="M34" s="225"/>
      <c r="N34" s="225"/>
      <c r="O34" s="225"/>
      <c r="P34" s="226" t="s">
        <v>80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1192</v>
      </c>
      <c r="R34" s="211" t="n">
        <f aca="false">IF(ISTEXT(H34),"",(B34*$B$7/100)+(C34*$C$7/100))</f>
        <v>0.001</v>
      </c>
      <c r="S34" s="212" t="n">
        <f aca="false">IF(OR(ISTEXT(H34),R34=0),"",IF(R34&lt;0.1,1,IF(R34&lt;1,2,IF(R34&lt;10,3,IF(R34&lt;50,4,IF(R34&gt;=50,5,""))))))</f>
        <v>1</v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MACPOL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156</v>
      </c>
    </row>
    <row r="35" customFormat="false" ht="12.75" hidden="false" customHeight="false" outlineLevel="0" collapsed="false">
      <c r="A35" s="216" t="s">
        <v>92</v>
      </c>
      <c r="B35" s="217" t="n">
        <v>0</v>
      </c>
      <c r="C35" s="218" t="n">
        <v>0.01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Pellia endiviifolia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0.001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BRh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4</v>
      </c>
      <c r="I35" s="8" t="n">
        <f aca="false">IF(A35="","",1)</f>
        <v>1</v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nc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nc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Pellia endiviifolia</v>
      </c>
      <c r="M35" s="225"/>
      <c r="N35" s="225"/>
      <c r="O35" s="225"/>
      <c r="P35" s="226" t="s">
        <v>80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1197</v>
      </c>
      <c r="R35" s="211" t="n">
        <f aca="false">IF(ISTEXT(H35),"",(B35*$B$7/100)+(C35*$C$7/100))</f>
        <v>0.001</v>
      </c>
      <c r="S35" s="212" t="n">
        <f aca="false">IF(OR(ISTEXT(H35),R35=0),"",IF(R35&lt;0.1,1,IF(R35&lt;1,2,IF(R35&lt;10,3,IF(R35&lt;50,4,IF(R35&gt;=50,5,""))))))</f>
        <v>1</v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PELEND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167</v>
      </c>
    </row>
    <row r="36" customFormat="false" ht="12.75" hidden="false" customHeight="false" outlineLevel="0" collapsed="false">
      <c r="A36" s="216" t="s">
        <v>93</v>
      </c>
      <c r="B36" s="217" t="n">
        <v>0</v>
      </c>
      <c r="C36" s="218" t="n">
        <v>0.01</v>
      </c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Riccardia chamedryfolia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0.001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BRh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4</v>
      </c>
      <c r="I36" s="8" t="n">
        <f aca="false">IF(A36="","",1)</f>
        <v>1</v>
      </c>
      <c r="J36" s="224" t="n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15</v>
      </c>
      <c r="K36" s="224" t="n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2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Riccardia chamedryfolia</v>
      </c>
      <c r="M36" s="225"/>
      <c r="N36" s="225"/>
      <c r="O36" s="225"/>
      <c r="P36" s="226" t="s">
        <v>80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1173</v>
      </c>
      <c r="R36" s="211" t="n">
        <f aca="false">IF(ISTEXT(H36),"",(B36*$B$7/100)+(C36*$C$7/100))</f>
        <v>0.001</v>
      </c>
      <c r="S36" s="212" t="n">
        <f aca="false">IF(OR(ISTEXT(H36),R36=0),"",IF(R36&lt;0.1,1,IF(R36&lt;1,2,IF(R36&lt;10,3,IF(R36&lt;50,4,IF(R36&gt;=50,5,""))))))</f>
        <v>1</v>
      </c>
      <c r="T36" s="212" t="n">
        <f aca="false">IF(ISERROR(S36*J36),0,S36*J36)</f>
        <v>15</v>
      </c>
      <c r="U36" s="212" t="n">
        <f aca="false">IF(ISERROR(S36*J36*K36),0,S36*J36*K36)</f>
        <v>30</v>
      </c>
      <c r="V36" s="228" t="n">
        <f aca="false">IF(ISERROR(S36*K36),0,S36*K36)</f>
        <v>2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RICCHA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178</v>
      </c>
    </row>
    <row r="37" customFormat="false" ht="12.75" hidden="false" customHeight="false" outlineLevel="0" collapsed="false">
      <c r="A37" s="216" t="s">
        <v>94</v>
      </c>
      <c r="B37" s="217" t="n">
        <v>0.07</v>
      </c>
      <c r="C37" s="218" t="n">
        <v>0.5</v>
      </c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>Brachythecium rivulare</v>
      </c>
      <c r="E37" s="220" t="e">
        <f aca="false">IF(D37="",0,VLOOKUP(D37,D$22:D36,1,0))</f>
        <v>#N/A</v>
      </c>
      <c r="F37" s="221" t="n">
        <f aca="false">IF(AND(OR(A37="",A37="!!!!!!"),B37="",C37=""),"",IF(OR(AND(B37="",C37=""),ISERROR(C37+B37)),"!!!",($B37*$B$7+$C37*$C$7)/100))</f>
        <v>0.113</v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>BRm</v>
      </c>
      <c r="H37" s="223" t="n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5</v>
      </c>
      <c r="I37" s="8" t="n">
        <f aca="false">IF(A37="","",1)</f>
        <v>1</v>
      </c>
      <c r="J37" s="224" t="n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15</v>
      </c>
      <c r="K37" s="224" t="n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2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>Brachythecium rivulare</v>
      </c>
      <c r="M37" s="225"/>
      <c r="N37" s="225"/>
      <c r="O37" s="225"/>
      <c r="P37" s="226" t="s">
        <v>80</v>
      </c>
      <c r="Q37" s="227" t="n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>1260</v>
      </c>
      <c r="R37" s="211" t="n">
        <f aca="false">IF(ISTEXT(H37),"",(B37*$B$7/100)+(C37*$C$7/100))</f>
        <v>0.113</v>
      </c>
      <c r="S37" s="212" t="n">
        <f aca="false">IF(OR(ISTEXT(H37),R37=0),"",IF(R37&lt;0.1,1,IF(R37&lt;1,2,IF(R37&lt;10,3,IF(R37&lt;50,4,IF(R37&gt;=50,5,""))))))</f>
        <v>2</v>
      </c>
      <c r="T37" s="212" t="n">
        <f aca="false">IF(ISERROR(S37*J37),0,S37*J37)</f>
        <v>30</v>
      </c>
      <c r="U37" s="212" t="n">
        <f aca="false">IF(ISERROR(S37*J37*K37),0,S37*J37*K37)</f>
        <v>60</v>
      </c>
      <c r="V37" s="228" t="n">
        <f aca="false">IF(ISERROR(S37*K37),0,S37*K37)</f>
        <v>4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>BRARIV</v>
      </c>
      <c r="Z37" s="197" t="n">
        <f aca="false">IF(ISERROR(MATCH(A37,'[1]liste reference'!$A$6:$A$1174,0)),IF(ISERROR(MATCH(A37,'[1]liste reference'!$B$6:$B$1174,0)),"",(MATCH(A37,'[1]liste reference'!$B$6:$B$1174,0))),(MATCH(A37,'[1]liste reference'!$A$6:$A$1174,0)))</f>
        <v>203</v>
      </c>
    </row>
    <row r="38" customFormat="false" ht="12.75" hidden="false" customHeight="false" outlineLevel="0" collapsed="false">
      <c r="A38" s="216" t="s">
        <v>16</v>
      </c>
      <c r="B38" s="217" t="n">
        <v>30</v>
      </c>
      <c r="C38" s="218" t="n">
        <v>20</v>
      </c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>Cinclidotus aquaticus</v>
      </c>
      <c r="E38" s="220" t="e">
        <f aca="false">IF(D38="",0,VLOOKUP(D38,D$22:D37,1,0))</f>
        <v>#N/A</v>
      </c>
      <c r="F38" s="221" t="n">
        <f aca="false">IF(AND(OR(A38="",A38="!!!!!!"),B38="",C38=""),"",IF(OR(AND(B38="",C38=""),ISERROR(C38+B38)),"!!!",($B38*$B$7+$C38*$C$7)/100))</f>
        <v>29</v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>BRm</v>
      </c>
      <c r="H38" s="223" t="n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5</v>
      </c>
      <c r="I38" s="8" t="n">
        <f aca="false">IF(A38="","",1)</f>
        <v>1</v>
      </c>
      <c r="J38" s="224" t="n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15</v>
      </c>
      <c r="K38" s="224" t="n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2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>Cinclidotus aquaticus</v>
      </c>
      <c r="M38" s="225"/>
      <c r="N38" s="225"/>
      <c r="O38" s="225"/>
      <c r="P38" s="226" t="s">
        <v>80</v>
      </c>
      <c r="Q38" s="227" t="n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>1318</v>
      </c>
      <c r="R38" s="211" t="n">
        <f aca="false">IF(ISTEXT(H38),"",(B38*$B$7/100)+(C38*$C$7/100))</f>
        <v>29</v>
      </c>
      <c r="S38" s="212" t="n">
        <f aca="false">IF(OR(ISTEXT(H38),R38=0),"",IF(R38&lt;0.1,1,IF(R38&lt;1,2,IF(R38&lt;10,3,IF(R38&lt;50,4,IF(R38&gt;=50,5,""))))))</f>
        <v>4</v>
      </c>
      <c r="T38" s="212" t="n">
        <f aca="false">IF(ISERROR(S38*J38),0,S38*J38)</f>
        <v>60</v>
      </c>
      <c r="U38" s="212" t="n">
        <f aca="false">IF(ISERROR(S38*J38*K38),0,S38*J38*K38)</f>
        <v>120</v>
      </c>
      <c r="V38" s="228" t="n">
        <f aca="false">IF(ISERROR(S38*K38),0,S38*K38)</f>
        <v>8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>CINAQU</v>
      </c>
      <c r="Z38" s="197" t="n">
        <f aca="false">IF(ISERROR(MATCH(A38,'[1]liste reference'!$A$6:$A$1174,0)),IF(ISERROR(MATCH(A38,'[1]liste reference'!$B$6:$B$1174,0)),"",(MATCH(A38,'[1]liste reference'!$B$6:$B$1174,0))),(MATCH(A38,'[1]liste reference'!$A$6:$A$1174,0)))</f>
        <v>221</v>
      </c>
    </row>
    <row r="39" customFormat="false" ht="12.75" hidden="false" customHeight="false" outlineLevel="0" collapsed="false">
      <c r="A39" s="216" t="s">
        <v>95</v>
      </c>
      <c r="B39" s="217" t="n">
        <v>0</v>
      </c>
      <c r="C39" s="218" t="n">
        <v>0.5</v>
      </c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>Cinclidotus fontinaloides</v>
      </c>
      <c r="E39" s="220" t="e">
        <f aca="false">IF(D39="",0,VLOOKUP(D39,D$22:D38,1,0))</f>
        <v>#N/A</v>
      </c>
      <c r="F39" s="221" t="n">
        <f aca="false">IF(AND(OR(A39="",A39="!!!!!!"),B39="",C39=""),"",IF(OR(AND(B39="",C39=""),ISERROR(C39+B39)),"!!!",($B39*$B$7+$C39*$C$7)/100))</f>
        <v>0.05</v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>BRm</v>
      </c>
      <c r="H39" s="223" t="n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5</v>
      </c>
      <c r="I39" s="8" t="n">
        <f aca="false">IF(A39="","",1)</f>
        <v>1</v>
      </c>
      <c r="J39" s="224" t="n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12</v>
      </c>
      <c r="K39" s="224" t="n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2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>Cinclidotus fontinaloides</v>
      </c>
      <c r="M39" s="225"/>
      <c r="N39" s="225"/>
      <c r="O39" s="225"/>
      <c r="P39" s="226" t="s">
        <v>80</v>
      </c>
      <c r="Q39" s="227" t="n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>1320</v>
      </c>
      <c r="R39" s="211" t="n">
        <f aca="false">IF(ISTEXT(H39),"",(B39*$B$7/100)+(C39*$C$7/100))</f>
        <v>0.05</v>
      </c>
      <c r="S39" s="212" t="n">
        <f aca="false">IF(OR(ISTEXT(H39),R39=0),"",IF(R39&lt;0.1,1,IF(R39&lt;1,2,IF(R39&lt;10,3,IF(R39&lt;50,4,IF(R39&gt;=50,5,""))))))</f>
        <v>1</v>
      </c>
      <c r="T39" s="212" t="n">
        <f aca="false">IF(ISERROR(S39*J39),0,S39*J39)</f>
        <v>12</v>
      </c>
      <c r="U39" s="212" t="n">
        <f aca="false">IF(ISERROR(S39*J39*K39),0,S39*J39*K39)</f>
        <v>24</v>
      </c>
      <c r="V39" s="228" t="n">
        <f aca="false">IF(ISERROR(S39*K39),0,S39*K39)</f>
        <v>2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>CINFON</v>
      </c>
      <c r="Z39" s="197" t="n">
        <f aca="false">IF(ISERROR(MATCH(A39,'[1]liste reference'!$A$6:$A$1174,0)),IF(ISERROR(MATCH(A39,'[1]liste reference'!$B$6:$B$1174,0)),"",(MATCH(A39,'[1]liste reference'!$B$6:$B$1174,0))),(MATCH(A39,'[1]liste reference'!$A$6:$A$1174,0)))</f>
        <v>223</v>
      </c>
    </row>
    <row r="40" customFormat="false" ht="12.75" hidden="false" customHeight="false" outlineLevel="0" collapsed="false">
      <c r="A40" s="216" t="s">
        <v>96</v>
      </c>
      <c r="B40" s="217" t="n">
        <v>1</v>
      </c>
      <c r="C40" s="218" t="n">
        <v>0</v>
      </c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>Cinclidotus riparius</v>
      </c>
      <c r="E40" s="220" t="e">
        <f aca="false">IF(D40="",0,VLOOKUP(D40,D$22:D39,1,0))</f>
        <v>#N/A</v>
      </c>
      <c r="F40" s="221" t="n">
        <f aca="false">IF(AND(OR(A40="",A40="!!!!!!"),B40="",C40=""),"",IF(OR(AND(B40="",C40=""),ISERROR(C40+B40)),"!!!",($B40*$B$7+$C40*$C$7)/100))</f>
        <v>0.9</v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>BRm</v>
      </c>
      <c r="H40" s="223" t="n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5</v>
      </c>
      <c r="I40" s="8" t="n">
        <f aca="false">IF(A40="","",1)</f>
        <v>1</v>
      </c>
      <c r="J40" s="224" t="n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13</v>
      </c>
      <c r="K40" s="224" t="n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2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>Cinclidotus riparius</v>
      </c>
      <c r="M40" s="225"/>
      <c r="N40" s="225"/>
      <c r="O40" s="225"/>
      <c r="P40" s="226" t="s">
        <v>80</v>
      </c>
      <c r="Q40" s="227" t="n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>1321</v>
      </c>
      <c r="R40" s="211" t="n">
        <f aca="false">IF(ISTEXT(H40),"",(B40*$B$7/100)+(C40*$C$7/100))</f>
        <v>0.9</v>
      </c>
      <c r="S40" s="212" t="n">
        <f aca="false">IF(OR(ISTEXT(H40),R40=0),"",IF(R40&lt;0.1,1,IF(R40&lt;1,2,IF(R40&lt;10,3,IF(R40&lt;50,4,IF(R40&gt;=50,5,""))))))</f>
        <v>2</v>
      </c>
      <c r="T40" s="212" t="n">
        <f aca="false">IF(ISERROR(S40*J40),0,S40*J40)</f>
        <v>26</v>
      </c>
      <c r="U40" s="212" t="n">
        <f aca="false">IF(ISERROR(S40*J40*K40),0,S40*J40*K40)</f>
        <v>52</v>
      </c>
      <c r="V40" s="228" t="n">
        <f aca="false">IF(ISERROR(S40*K40),0,S40*K40)</f>
        <v>4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>CINRIP</v>
      </c>
      <c r="Z40" s="197" t="n">
        <f aca="false">IF(ISERROR(MATCH(A40,'[1]liste reference'!$A$6:$A$1174,0)),IF(ISERROR(MATCH(A40,'[1]liste reference'!$B$6:$B$1174,0)),"",(MATCH(A40,'[1]liste reference'!$B$6:$B$1174,0))),(MATCH(A40,'[1]liste reference'!$A$6:$A$1174,0)))</f>
        <v>224</v>
      </c>
    </row>
    <row r="41" customFormat="false" ht="12.75" hidden="false" customHeight="false" outlineLevel="0" collapsed="false">
      <c r="A41" s="216" t="s">
        <v>97</v>
      </c>
      <c r="B41" s="217" t="n">
        <v>0.1</v>
      </c>
      <c r="C41" s="218" t="n">
        <v>1</v>
      </c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>Fontinalis antipyretica</v>
      </c>
      <c r="E41" s="220" t="e">
        <f aca="false">IF(D41="",0,VLOOKUP(D41,D$22:D40,1,0))</f>
        <v>#N/A</v>
      </c>
      <c r="F41" s="221" t="n">
        <f aca="false">IF(AND(OR(A41="",A41="!!!!!!"),B41="",C41=""),"",IF(OR(AND(B41="",C41=""),ISERROR(C41+B41)),"!!!",($B41*$B$7+$C41*$C$7)/100))</f>
        <v>0.19</v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>BRm</v>
      </c>
      <c r="H41" s="223" t="n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5</v>
      </c>
      <c r="I41" s="8" t="n">
        <f aca="false">IF(A41="","",1)</f>
        <v>1</v>
      </c>
      <c r="J41" s="224" t="n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10</v>
      </c>
      <c r="K41" s="224" t="n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1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>Fontinalis antipyretica</v>
      </c>
      <c r="M41" s="225"/>
      <c r="N41" s="225"/>
      <c r="O41" s="225"/>
      <c r="P41" s="226" t="s">
        <v>80</v>
      </c>
      <c r="Q41" s="227" t="n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>1310</v>
      </c>
      <c r="R41" s="211" t="n">
        <f aca="false">IF(ISTEXT(H41),"",(B41*$B$7/100)+(C41*$C$7/100))</f>
        <v>0.19</v>
      </c>
      <c r="S41" s="212" t="n">
        <f aca="false">IF(OR(ISTEXT(H41),R41=0),"",IF(R41&lt;0.1,1,IF(R41&lt;1,2,IF(R41&lt;10,3,IF(R41&lt;50,4,IF(R41&gt;=50,5,""))))))</f>
        <v>2</v>
      </c>
      <c r="T41" s="212" t="n">
        <f aca="false">IF(ISERROR(S41*J41),0,S41*J41)</f>
        <v>20</v>
      </c>
      <c r="U41" s="212" t="n">
        <f aca="false">IF(ISERROR(S41*J41*K41),0,S41*J41*K41)</f>
        <v>20</v>
      </c>
      <c r="V41" s="228" t="n">
        <f aca="false">IF(ISERROR(S41*K41),0,S41*K41)</f>
        <v>2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>FONANT</v>
      </c>
      <c r="Z41" s="197" t="n">
        <f aca="false">IF(ISERROR(MATCH(A41,'[1]liste reference'!$A$6:$A$1174,0)),IF(ISERROR(MATCH(A41,'[1]liste reference'!$B$6:$B$1174,0)),"",(MATCH(A41,'[1]liste reference'!$B$6:$B$1174,0))),(MATCH(A41,'[1]liste reference'!$A$6:$A$1174,0)))</f>
        <v>273</v>
      </c>
    </row>
    <row r="42" customFormat="false" ht="12.75" hidden="false" customHeight="false" outlineLevel="0" collapsed="false">
      <c r="A42" s="216" t="s">
        <v>98</v>
      </c>
      <c r="B42" s="217" t="n">
        <v>0</v>
      </c>
      <c r="C42" s="218" t="n">
        <v>0.01</v>
      </c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>Hygroamblystegium tenax</v>
      </c>
      <c r="E42" s="220" t="e">
        <f aca="false">IF(D42="",0,VLOOKUP(D42,D$22:D41,1,0))</f>
        <v>#N/A</v>
      </c>
      <c r="F42" s="221" t="n">
        <f aca="false">IF(AND(OR(A42="",A42="!!!!!!"),B42="",C42=""),"",IF(OR(AND(B42="",C42=""),ISERROR(C42+B42)),"!!!",($B42*$B$7+$C42*$C$7)/100))</f>
        <v>0.001</v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>BRm</v>
      </c>
      <c r="H42" s="223" t="n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5</v>
      </c>
      <c r="I42" s="8" t="n">
        <f aca="false">IF(A42="","",1)</f>
        <v>1</v>
      </c>
      <c r="J42" s="224" t="n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15</v>
      </c>
      <c r="K42" s="224" t="n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2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>Hygroamblystegium tenax</v>
      </c>
      <c r="M42" s="225"/>
      <c r="N42" s="225"/>
      <c r="O42" s="225"/>
      <c r="P42" s="226" t="s">
        <v>80</v>
      </c>
      <c r="Q42" s="227" t="n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>31552</v>
      </c>
      <c r="R42" s="211" t="n">
        <f aca="false">IF(ISTEXT(H42),"",(B42*$B$7/100)+(C42*$C$7/100))</f>
        <v>0.001</v>
      </c>
      <c r="S42" s="212" t="n">
        <f aca="false">IF(OR(ISTEXT(H42),R42=0),"",IF(R42&lt;0.1,1,IF(R42&lt;1,2,IF(R42&lt;10,3,IF(R42&lt;50,4,IF(R42&gt;=50,5,""))))))</f>
        <v>1</v>
      </c>
      <c r="T42" s="212" t="n">
        <f aca="false">IF(ISERROR(S42*J42),0,S42*J42)</f>
        <v>15</v>
      </c>
      <c r="U42" s="212" t="n">
        <f aca="false">IF(ISERROR(S42*J42*K42),0,S42*J42*K42)</f>
        <v>30</v>
      </c>
      <c r="V42" s="228" t="n">
        <f aca="false">IF(ISERROR(S42*K42),0,S42*K42)</f>
        <v>2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>HYATEN</v>
      </c>
      <c r="Z42" s="197" t="n">
        <f aca="false">IF(ISERROR(MATCH(A42,'[1]liste reference'!$A$6:$A$1174,0)),IF(ISERROR(MATCH(A42,'[1]liste reference'!$B$6:$B$1174,0)),"",(MATCH(A42,'[1]liste reference'!$B$6:$B$1174,0))),(MATCH(A42,'[1]liste reference'!$A$6:$A$1174,0)))</f>
        <v>283</v>
      </c>
    </row>
    <row r="43" customFormat="false" ht="12.75" hidden="false" customHeight="false" outlineLevel="0" collapsed="false">
      <c r="A43" s="216" t="s">
        <v>99</v>
      </c>
      <c r="B43" s="217" t="n">
        <v>0.1</v>
      </c>
      <c r="C43" s="218" t="n">
        <v>0</v>
      </c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>Leptodictyum riparium </v>
      </c>
      <c r="E43" s="220" t="e">
        <f aca="false">IF(D43="",0,VLOOKUP(D43,D$22:D42,1,0))</f>
        <v>#N/A</v>
      </c>
      <c r="F43" s="221" t="n">
        <f aca="false">IF(AND(OR(A43="",A43="!!!!!!"),B43="",C43=""),"",IF(OR(AND(B43="",C43=""),ISERROR(C43+B43)),"!!!",($B43*$B$7+$C43*$C$7)/100))</f>
        <v>0.09</v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>BRm</v>
      </c>
      <c r="H43" s="223" t="n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5</v>
      </c>
      <c r="I43" s="8" t="n">
        <f aca="false">IF(A43="","",1)</f>
        <v>1</v>
      </c>
      <c r="J43" s="224" t="n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5</v>
      </c>
      <c r="K43" s="224" t="n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2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>Leptodictyum riparium </v>
      </c>
      <c r="M43" s="225"/>
      <c r="N43" s="225"/>
      <c r="O43" s="225"/>
      <c r="P43" s="226" t="s">
        <v>80</v>
      </c>
      <c r="Q43" s="227" t="n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>1244</v>
      </c>
      <c r="R43" s="211" t="n">
        <f aca="false">IF(ISTEXT(H43),"",(B43*$B$7/100)+(C43*$C$7/100))</f>
        <v>0.09</v>
      </c>
      <c r="S43" s="212" t="n">
        <f aca="false">IF(OR(ISTEXT(H43),R43=0),"",IF(R43&lt;0.1,1,IF(R43&lt;1,2,IF(R43&lt;10,3,IF(R43&lt;50,4,IF(R43&gt;=50,5,""))))))</f>
        <v>1</v>
      </c>
      <c r="T43" s="212" t="n">
        <f aca="false">IF(ISERROR(S43*J43),0,S43*J43)</f>
        <v>5</v>
      </c>
      <c r="U43" s="212" t="n">
        <f aca="false">IF(ISERROR(S43*J43*K43),0,S43*J43*K43)</f>
        <v>10</v>
      </c>
      <c r="V43" s="228" t="n">
        <f aca="false">IF(ISERROR(S43*K43),0,S43*K43)</f>
        <v>2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>LEORIP</v>
      </c>
      <c r="Z43" s="197" t="n">
        <f aca="false">IF(ISERROR(MATCH(A43,'[1]liste reference'!$A$6:$A$1174,0)),IF(ISERROR(MATCH(A43,'[1]liste reference'!$B$6:$B$1174,0)),"",(MATCH(A43,'[1]liste reference'!$B$6:$B$1174,0))),(MATCH(A43,'[1]liste reference'!$A$6:$A$1174,0)))</f>
        <v>298</v>
      </c>
    </row>
    <row r="44" customFormat="false" ht="12.75" hidden="false" customHeight="false" outlineLevel="0" collapsed="false">
      <c r="A44" s="216" t="s">
        <v>100</v>
      </c>
      <c r="B44" s="217" t="n">
        <v>1.03</v>
      </c>
      <c r="C44" s="218" t="n">
        <v>0</v>
      </c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>Palustriella commutata</v>
      </c>
      <c r="E44" s="220" t="e">
        <f aca="false">IF(D44="",0,VLOOKUP(D44,D$22:D43,1,0))</f>
        <v>#N/A</v>
      </c>
      <c r="F44" s="221" t="n">
        <f aca="false">IF(AND(OR(A44="",A44="!!!!!!"),B44="",C44=""),"",IF(OR(AND(B44="",C44=""),ISERROR(C44+B44)),"!!!",($B44*$B$7+$C44*$C$7)/100))</f>
        <v>0.927</v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>BRm</v>
      </c>
      <c r="H44" s="223" t="n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5</v>
      </c>
      <c r="I44" s="8" t="n">
        <f aca="false">IF(A44="","",1)</f>
        <v>1</v>
      </c>
      <c r="J44" s="224" t="n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15</v>
      </c>
      <c r="K44" s="224" t="n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2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>Palustriella commutata</v>
      </c>
      <c r="M44" s="225"/>
      <c r="N44" s="225"/>
      <c r="O44" s="225"/>
      <c r="P44" s="226" t="s">
        <v>80</v>
      </c>
      <c r="Q44" s="227" t="n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>19903</v>
      </c>
      <c r="R44" s="211" t="n">
        <f aca="false">IF(ISTEXT(H44),"",(B44*$B$7/100)+(C44*$C$7/100))</f>
        <v>0.927</v>
      </c>
      <c r="S44" s="212" t="n">
        <f aca="false">IF(OR(ISTEXT(H44),R44=0),"",IF(R44&lt;0.1,1,IF(R44&lt;1,2,IF(R44&lt;10,3,IF(R44&lt;50,4,IF(R44&gt;=50,5,""))))))</f>
        <v>2</v>
      </c>
      <c r="T44" s="212" t="n">
        <f aca="false">IF(ISERROR(S44*J44),0,S44*J44)</f>
        <v>30</v>
      </c>
      <c r="U44" s="212" t="n">
        <f aca="false">IF(ISERROR(S44*J44*K44),0,S44*J44*K44)</f>
        <v>60</v>
      </c>
      <c r="V44" s="228" t="n">
        <f aca="false">IF(ISERROR(S44*K44),0,S44*K44)</f>
        <v>4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>PALCOM</v>
      </c>
      <c r="Z44" s="197" t="n">
        <f aca="false">IF(ISERROR(MATCH(A44,'[1]liste reference'!$A$6:$A$1174,0)),IF(ISERROR(MATCH(A44,'[1]liste reference'!$B$6:$B$1174,0)),"",(MATCH(A44,'[1]liste reference'!$B$6:$B$1174,0))),(MATCH(A44,'[1]liste reference'!$A$6:$A$1174,0)))</f>
        <v>309</v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38.273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54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BOURNE</v>
      </c>
      <c r="B84" s="180" t="str">
        <f aca="false">C3</f>
        <v>BOURNE A CHORANCHE 1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11.7222222222222</v>
      </c>
      <c r="E84" s="254" t="n">
        <f aca="false">O13</f>
        <v>22</v>
      </c>
      <c r="F84" s="180" t="n">
        <f aca="false">O14</f>
        <v>19</v>
      </c>
      <c r="G84" s="180" t="n">
        <f aca="false">O15</f>
        <v>6</v>
      </c>
      <c r="H84" s="180" t="n">
        <f aca="false">O16</f>
        <v>12</v>
      </c>
      <c r="I84" s="180" t="n">
        <f aca="false">O17</f>
        <v>1</v>
      </c>
      <c r="J84" s="255" t="n">
        <f aca="false">O8</f>
        <v>11.4736842105263</v>
      </c>
      <c r="K84" s="256" t="n">
        <f aca="false">O9</f>
        <v>3.08422848925971</v>
      </c>
      <c r="L84" s="257" t="n">
        <f aca="false">O10</f>
        <v>5</v>
      </c>
      <c r="M84" s="257" t="n">
        <f aca="false">O11</f>
        <v>15</v>
      </c>
      <c r="N84" s="256" t="n">
        <f aca="false">P8</f>
        <v>1.73684210526316</v>
      </c>
      <c r="O84" s="256" t="n">
        <f aca="false">P9</f>
        <v>0.546963412916488</v>
      </c>
      <c r="P84" s="257" t="n">
        <f aca="false">P10</f>
        <v>1</v>
      </c>
      <c r="Q84" s="257" t="n">
        <f aca="false">P11</f>
        <v>3</v>
      </c>
      <c r="R84" s="257" t="n">
        <f aca="false">F21</f>
        <v>38.273</v>
      </c>
      <c r="S84" s="257" t="n">
        <f aca="false">L11</f>
        <v>0</v>
      </c>
      <c r="T84" s="257" t="n">
        <f aca="false">L12</f>
        <v>11</v>
      </c>
      <c r="U84" s="257" t="n">
        <f aca="false">L13</f>
        <v>11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101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102</v>
      </c>
      <c r="S87" s="8"/>
      <c r="T87" s="263" t="n">
        <f aca="false">VLOOKUP($T$91,($A$23:$U$82),20,FALSE())</f>
        <v>60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103</v>
      </c>
      <c r="S88" s="8"/>
      <c r="T88" s="263" t="n">
        <f aca="false">VLOOKUP($T$91,($A$23:$U$82),21,FALSE())</f>
        <v>120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104</v>
      </c>
      <c r="S89" s="8"/>
      <c r="T89" s="263" t="n">
        <f aca="false">MAX($V$23:$V$82)</f>
        <v>8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105</v>
      </c>
      <c r="S90" s="8" t="s">
        <v>10</v>
      </c>
      <c r="T90" s="264" t="n">
        <f aca="false">IF(OR(ISERROR(SUM($U$23:$U$82)/SUM($V$23:$V$82)),F7&lt;&gt;100),-1,(SUM($U$23:$U$82)-T88)/(SUM($V$23:$V$82)-T89))</f>
        <v>11.1521739130435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106</v>
      </c>
      <c r="S91" s="212"/>
      <c r="T91" s="212" t="str">
        <f aca="false">INDEX('[1]liste reference'!$A$6:$A$1174,$U$91)</f>
        <v>CINAQU</v>
      </c>
      <c r="U91" s="8" t="n">
        <f aca="false">IF(ISERROR(MATCH($T$93,'[1]liste reference'!$A$6:$A$1174,0)),MATCH($T$93,'[1]liste reference'!$B$6:$B$1174,0),(MATCH($T$93,'[1]liste reference'!$A$6:$A$1174,0)))</f>
        <v>221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107</v>
      </c>
      <c r="S92" s="8"/>
      <c r="T92" s="8" t="n">
        <f aca="false">MATCH(T89,$V$23:$V$82,0)</f>
        <v>16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108</v>
      </c>
      <c r="S93" s="8"/>
      <c r="T93" s="212" t="str">
        <f aca="false">INDEX($A$23:$A$82,$T$92)</f>
        <v>CINAQU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2016-04-06T18:38:00Z</dcterms:created>
  <dc:creator>cyril bernard</dc:creator>
  <dc:description/>
  <dc:language>fr-FR</dc:language>
  <cp:lastModifiedBy>cyril bernard</cp:lastModifiedBy>
  <dcterms:modified xsi:type="dcterms:W3CDTF">2016-04-06T18:38:06Z</dcterms:modified>
  <cp:revision>0</cp:revision>
  <dc:subject/>
  <dc:title/>
</cp:coreProperties>
</file>