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5" activeTab="5"/>
  </bookViews>
  <sheets>
    <sheet name="accueil" sheetId="1" state="hidden" r:id="rId3"/>
    <sheet name="liste reference" sheetId="2" state="hidden" r:id="rId4"/>
    <sheet name="Récap." sheetId="3" state="hidden" r:id="rId5"/>
    <sheet name="Macro1" sheetId="4" state="hidden" r:id="rId6"/>
    <sheet name="notice" sheetId="5" state="hidden" r:id="rId7"/>
    <sheet name="06150185" sheetId="6" state="visible" r:id="rId8"/>
    <sheet name="modele" sheetId="7" state="hidden" r:id="rId9"/>
    <sheet name="liste codes réf" sheetId="8" state="hidden" r:id="rId10"/>
  </sheets>
  <definedNames>
    <definedName function="false" hidden="false" localSheetId="5" name="_xlnm.Print_Area" vbProcedure="false">'06150185'!$A$1:$O$82</definedName>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name="Cf_" vbProcedure="false">'liste codes réf'!$F$29:$F$30</definedName>
    <definedName function="false" hidden="false" name="codes_taxons" vbProcedure="false">'liste codes réf'!$A$7:$A$896</definedName>
    <definedName function="false" hidden="false" name="NOM" vbProcedure="false">#REF!</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'06150185'!$A$23:$J$84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<sst xmlns="http://schemas.openxmlformats.org/spreadsheetml/2006/main" count="7373" uniqueCount="2732">
  <si>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</si>
  <si>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</si>
  <si>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</si>
  <si>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</si>
  <si>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</si>
  <si>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</si>
  <si>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</si>
  <si>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</si>
  <si>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</si>
  <si>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</si>
  <si>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</si>
  <si>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</si>
  <si>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</si>
  <si>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</si>
  <si>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</si>
  <si>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</si>
  <si>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</si>
  <si>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</si>
  <si>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</si>
  <si>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</si>
  <si>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</si>
  <si>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</si>
  <si>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</si>
  <si>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</si>
  <si>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</si>
  <si>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</si>
  <si>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</si>
  <si>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</si>
  <si>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</si>
  <si>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</si>
  <si>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</si>
  <si>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</si>
  <si>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</si>
  <si>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</si>
  <si>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</si>
  <si>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</si>
  <si>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</si>
  <si>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</si>
  <si>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</si>
  <si>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</si>
  <si>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</si>
  <si>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</si>
  <si>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</si>
  <si>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</si>
  <si>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</si>
  <si>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</si>
  <si>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</si>
  <si>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</si>
  <si>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</si>
  <si>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</si>
  <si>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</si>
  <si>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</si>
  <si>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</si>
  <si>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</si>
  <si>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</si>
  <si>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</si>
  <si>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</si>
  <si>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</si>
  <si>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</si>
  <si>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</si>
  <si>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</si>
  <si>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</si>
  <si>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</si>
  <si>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</si>
  <si>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</si>
  <si>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</si>
  <si>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</si>
  <si>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</si>
  <si>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</si>
  <si>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</si>
  <si>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</si>
  <si>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</si>
  <si>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</si>
  <si>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</si>
  <si>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</si>
  <si>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</si>
  <si>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</si>
  <si>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</si>
  <si>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</si>
  <si>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</si>
  <si>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</si>
  <si>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</si>
  <si>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</si>
  <si>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</si>
  <si>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</si>
  <si>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</si>
  <si>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</si>
  <si>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</si>
  <si>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</si>
  <si>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</si>
  <si>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</si>
  <si>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</si>
  <si>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</si>
  <si>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</si>
  <si>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</si>
  <si>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</si>
  <si>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</si>
  <si>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</si>
  <si>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</si>
  <si>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</si>
  <si>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</si>
  <si>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</si>
  <si>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</si>
  <si>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</si>
  <si>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</si>
  <si>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</si>
  <si>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</si>
  <si>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</si>
  <si>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</si>
  <si>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</si>
  <si>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</si>
  <si>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</si>
  <si>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</si>
  <si>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</si>
  <si>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</si>
  <si>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</si>
  <si>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</si>
  <si>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</si>
  <si>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</si>
  <si>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</si>
  <si>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</si>
  <si>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</si>
  <si>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</si>
  <si>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</si>
  <si>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</si>
  <si>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</si>
  <si>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</si>
  <si>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</si>
  <si>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</si>
  <si>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</si>
  <si>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</si>
  <si>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</si>
  <si>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</si>
  <si>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</si>
  <si>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</si>
  <si>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</si>
  <si>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</si>
  <si>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</si>
  <si>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</si>
  <si>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</si>
  <si>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</si>
  <si>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</si>
  <si>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</si>
  <si>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</si>
  <si>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</si>
  <si>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</si>
  <si>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</si>
  <si>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</si>
  <si>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</si>
  <si>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</si>
  <si>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</si>
  <si>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</si>
  <si>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</si>
  <si>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</si>
  <si>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</si>
  <si>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</si>
  <si>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</si>
  <si>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</si>
  <si>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</si>
  <si>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</si>
  <si>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</si>
  <si>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</si>
  <si>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</si>
  <si>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</si>
  <si>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</si>
  <si>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</si>
  <si>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</si>
  <si>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</si>
  <si>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</si>
  <si>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</si>
  <si>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</si>
  <si>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</si>
  <si>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</si>
  <si>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</si>
  <si>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</si>
  <si>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</si>
  <si>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</si>
  <si>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</si>
  <si>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</si>
  <si>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</si>
  <si>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</si>
  <si>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</si>
  <si>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</si>
  <si>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</si>
  <si>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</si>
  <si>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</si>
  <si>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</si>
  <si>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</si>
  <si>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</si>
  <si>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</si>
  <si>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</si>
  <si>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</si>
  <si>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</si>
  <si>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</si>
  <si>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</si>
  <si>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</si>
  <si>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</si>
  <si>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</si>
  <si>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</si>
  <si>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</si>
  <si>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</si>
  <si>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</si>
  <si>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</si>
  <si>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</si>
  <si>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</si>
  <si>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</si>
  <si>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</si>
  <si>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</si>
  <si>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</si>
  <si>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</si>
  <si>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</si>
  <si>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</si>
  <si>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</si>
  <si>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</si>
  <si>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</si>
  <si>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</si>
  <si>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</si>
  <si>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</si>
  <si>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</si>
  <si>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</si>
  <si>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</si>
  <si>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</si>
  <si>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</si>
  <si>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</si>
  <si>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</si>
  <si>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</si>
  <si>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</si>
  <si>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</si>
  <si>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</si>
  <si>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</si>
  <si>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</si>
  <si>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</si>
  <si>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</si>
  <si>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</si>
  <si>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</si>
  <si>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</si>
  <si>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</si>
  <si>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</si>
  <si>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</si>
  <si>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</si>
  <si>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</si>
  <si>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</si>
  <si>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</si>
  <si>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</si>
  <si>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</si>
  <si>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</si>
  <si>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</si>
  <si>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</si>
  <si>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</si>
  <si>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</si>
  <si>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</si>
  <si>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</si>
  <si>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</si>
  <si>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</si>
  <si>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</si>
  <si>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</si>
  <si>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</si>
  <si>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</si>
  <si>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</si>
  <si>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</si>
  <si>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</si>
  <si>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</si>
  <si>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</si>
  <si>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</si>
  <si>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</si>
  <si>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</si>
  <si>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</si>
  <si>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</si>
  <si>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</si>
  <si>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</si>
  <si>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</si>
  <si>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</si>
  <si>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</si>
  <si>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</si>
  <si>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</si>
  <si>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</si>
  <si>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</si>
  <si>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</si>
  <si>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</si>
  <si>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</si>
  <si>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</si>
  <si>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</si>
  <si>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</si>
  <si>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</si>
  <si>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</si>
  <si>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</si>
  <si>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</si>
  <si>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</si>
  <si>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</si>
  <si>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</si>
  <si>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</si>
  <si>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</si>
  <si>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</si>
  <si>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</si>
  <si>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</si>
  <si>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</si>
  <si>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</si>
  <si>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</si>
  <si>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</si>
  <si>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</si>
  <si>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</si>
  <si>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</si>
  <si>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</si>
  <si>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</si>
  <si>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</si>
  <si>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</si>
  <si>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</si>
  <si>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</si>
  <si>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</si>
  <si>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</si>
  <si>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</si>
  <si>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</si>
  <si>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</si>
  <si>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</si>
  <si>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</si>
  <si>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</si>
  <si>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</si>
  <si>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</si>
  <si>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</si>
  <si>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</si>
  <si>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</si>
  <si>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</si>
  <si>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</si>
  <si>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</si>
  <si>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</si>
  <si>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</si>
  <si>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</si>
  <si>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</si>
  <si>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</si>
  <si>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</si>
  <si>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</si>
  <si>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</si>
  <si>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</si>
  <si>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</si>
  <si>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</si>
  <si>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</si>
  <si>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</si>
  <si>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</si>
  <si>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</si>
  <si>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</si>
  <si>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</si>
  <si>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</si>
  <si>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</si>
  <si>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</si>
  <si>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</si>
  <si>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</si>
  <si>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</si>
  <si>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</si>
  <si>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</si>
  <si>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</si>
  <si>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</si>
  <si>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</si>
  <si>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</si>
  <si>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</si>
  <si>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</si>
  <si>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</si>
  <si>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</si>
  <si>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</si>
  <si>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</si>
  <si>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</si>
  <si>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</si>
  <si>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</si>
  <si>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</si>
  <si>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</si>
  <si>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</si>
  <si>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</si>
  <si>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</si>
  <si>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</si>
  <si>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</si>
  <si>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</si>
  <si>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</si>
  <si>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</si>
  <si>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</si>
  <si>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</si>
  <si>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</si>
  <si>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</si>
  <si>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</si>
  <si>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</si>
  <si>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</si>
  <si>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</si>
  <si>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</si>
  <si>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</si>
  <si>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</si>
  <si>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</si>
  <si>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</si>
  <si>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</si>
  <si>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</si>
  <si>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</si>
  <si>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</si>
  <si>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</si>
  <si>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</si>
  <si>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</si>
  <si>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</si>
  <si>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</si>
  <si>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</si>
  <si>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</si>
  <si>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</si>
  <si>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</si>
  <si>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</si>
  <si>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</si>
  <si>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</si>
  <si>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</si>
  <si>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</si>
  <si>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</si>
  <si>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</si>
  <si>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</si>
  <si>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</si>
  <si>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</si>
  <si>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</si>
  <si>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</si>
  <si>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</si>
  <si>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</si>
  <si>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</si>
  <si>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</si>
  <si>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</si>
  <si>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</si>
  <si>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</si>
  <si>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</si>
  <si>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</si>
  <si>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</si>
  <si>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</si>
  <si>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</si>
  <si>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</si>
  <si>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</si>
  <si>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</si>
  <si>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</si>
  <si>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</si>
  <si>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</si>
  <si>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</si>
  <si>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</si>
  <si>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</si>
  <si>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</si>
  <si>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</si>
  <si>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</si>
  <si>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</si>
  <si>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</si>
  <si>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</si>
  <si>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</si>
  <si>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</si>
  <si>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</si>
  <si>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</si>
  <si>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</si>
  <si>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</si>
  <si>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</si>
  <si>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</si>
  <si>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</si>
  <si>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</si>
  <si>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</si>
  <si>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</si>
  <si>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</si>
  <si>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</si>
  <si>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</si>
  <si>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</si>
  <si>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</si>
  <si>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</si>
  <si>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</si>
  <si>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</si>
  <si>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</si>
  <si>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</si>
  <si>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</si>
  <si>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</si>
  <si>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</si>
  <si>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</si>
  <si>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</si>
  <si>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</si>
  <si>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</si>
  <si>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</si>
  <si>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</si>
  <si>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</si>
  <si>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</si>
  <si>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</si>
  <si>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</si>
  <si>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</si>
  <si>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</si>
  <si>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</si>
  <si>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</si>
  <si>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</si>
  <si>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</si>
  <si>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</si>
  <si>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</si>
  <si>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</si>
  <si>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</si>
  <si>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</si>
  <si>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</si>
  <si>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</si>
  <si>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</si>
  <si>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</si>
  <si>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</si>
  <si>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</si>
  <si>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</si>
  <si>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</si>
  <si>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</si>
  <si>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</si>
  <si>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</si>
  <si>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</si>
  <si>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</si>
  <si>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</si>
  <si>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</si>
  <si>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</si>
  <si>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</si>
  <si>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</si>
  <si>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</si>
  <si>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</si>
  <si>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</si>
  <si>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</si>
  <si>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</si>
  <si>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</si>
  <si>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</si>
  <si>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</si>
  <si>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</si>
  <si>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</si>
  <si>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</si>
  <si>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</si>
  <si>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</si>
  <si>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</si>
  <si>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</si>
  <si>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</si>
  <si>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</si>
  <si>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</si>
  <si>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</si>
  <si>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</si>
  <si>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</si>
  <si>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</si>
  <si>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</si>
  <si>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</si>
  <si>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</si>
  <si>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</si>
  <si>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</si>
  <si>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</si>
  <si>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</si>
  <si>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</si>
  <si>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</si>
  <si>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</si>
  <si>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</si>
  <si>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</si>
  <si>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</si>
  <si>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</si>
  <si>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</si>
  <si>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</si>
  <si>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</si>
  <si>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</si>
  <si>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</si>
  <si>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</si>
  <si>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</si>
  <si>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</si>
  <si>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</si>
  <si>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</si>
  <si>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</si>
  <si>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</si>
  <si>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</si>
  <si>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</si>
  <si>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</si>
  <si>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</si>
  <si>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</si>
  <si>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</si>
  <si>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</si>
  <si>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</si>
  <si>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</si>
  <si>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</si>
  <si>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</si>
  <si>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</si>
  <si>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</si>
  <si>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</si>
  <si>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</si>
  <si>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</si>
  <si>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</si>
  <si>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</si>
  <si>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</si>
  <si>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</si>
  <si>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</si>
  <si>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</si>
  <si>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</si>
  <si>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</si>
  <si>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</si>
  <si>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</si>
  <si>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</si>
  <si>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</si>
  <si>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</si>
  <si>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</si>
  <si>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</si>
  <si>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</si>
  <si>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</si>
  <si>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</si>
  <si>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</si>
  <si>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</si>
  <si>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</si>
  <si>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</si>
  <si>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</si>
  <si>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</si>
  <si>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</si>
  <si>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</si>
  <si>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</si>
  <si>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</si>
  <si>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</si>
  <si>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</si>
  <si>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</si>
  <si>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</si>
  <si>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</si>
  <si>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</si>
  <si>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</si>
  <si>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</si>
  <si>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</si>
  <si>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</si>
  <si>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</si>
  <si>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</si>
  <si>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</si>
  <si>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</si>
  <si>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</si>
  <si>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</si>
  <si>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</si>
  <si>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</si>
  <si>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</si>
  <si>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</si>
  <si>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</si>
  <si>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</si>
  <si>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</si>
  <si>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</si>
  <si>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</si>
  <si>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</si>
  <si>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</si>
  <si>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</si>
  <si>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</si>
  <si>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</si>
  <si>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</si>
  <si>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</si>
  <si>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</si>
  <si>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</si>
  <si>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</si>
  <si>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</si>
  <si>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</si>
  <si>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</si>
  <si>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</si>
  <si>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</si>
  <si>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</si>
  <si>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</si>
  <si>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</si>
  <si>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</si>
  <si>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</si>
  <si>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</si>
  <si>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</si>
  <si>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</si>
  <si>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</si>
  <si>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</si>
  <si>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</si>
  <si>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</si>
  <si>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</si>
  <si>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</si>
  <si>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</si>
  <si>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</si>
  <si>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</si>
  <si>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</si>
  <si>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</si>
  <si>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</si>
  <si>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</si>
  <si>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</si>
  <si>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</si>
  <si>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</si>
  <si>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</si>
  <si>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</si>
  <si>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</si>
  <si>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</si>
  <si>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</si>
  <si>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</si>
  <si>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</si>
  <si>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</si>
  <si>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</si>
  <si>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</si>
  <si>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</si>
  <si>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</si>
  <si>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</si>
  <si>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</si>
  <si>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</si>
  <si>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</si>
  <si>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</si>
  <si>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</si>
  <si>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</si>
  <si>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</si>
  <si>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</si>
  <si>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</si>
  <si>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</si>
  <si>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</si>
  <si>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</si>
  <si>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</si>
  <si>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</si>
  <si>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</si>
  <si>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</si>
  <si>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</si>
  <si>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</si>
  <si>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</si>
  <si>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</si>
  <si>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</si>
  <si>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</si>
  <si>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</si>
  <si>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</si>
  <si>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</si>
  <si>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</si>
  <si>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</si>
  <si>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</si>
  <si>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</si>
  <si>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</si>
  <si>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</si>
  <si>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</si>
  <si>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</si>
  <si>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</si>
  <si>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</si>
  <si>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</si>
  <si>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</si>
  <si>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</si>
  <si>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</si>
  <si>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</si>
  <si>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</si>
  <si>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</si>
  <si>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</si>
  <si>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</si>
  <si>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</si>
  <si>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</si>
  <si>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</si>
  <si>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</si>
  <si>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</si>
  <si>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</si>
  <si>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</si>
  <si>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</si>
  <si>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</si>
  <si>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</si>
  <si>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</si>
  <si>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</si>
  <si>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</si>
  <si>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</si>
  <si>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</si>
  <si>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</si>
  <si>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</si>
  <si>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</si>
  <si>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</si>
  <si>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</si>
  <si>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</si>
  <si>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</si>
  <si>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</si>
  <si>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</si>
  <si>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</si>
  <si>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</si>
  <si>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</si>
  <si>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</si>
  <si>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</si>
  <si>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</si>
  <si>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</si>
  <si>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</si>
  <si>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</si>
  <si>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</si>
  <si>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</si>
  <si>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</si>
  <si>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</si>
  <si>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</si>
  <si>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</si>
  <si>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</si>
  <si>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</si>
  <si>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</si>
  <si>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</si>
  <si>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</si>
  <si>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</si>
  <si>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</si>
  <si>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</si>
  <si>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</si>
  <si>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</si>
  <si>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</si>
  <si>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</si>
  <si>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</si>
  <si>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</si>
  <si>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</si>
  <si>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</si>
  <si>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</si>
  <si>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</si>
  <si>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</si>
  <si>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</si>
  <si>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</si>
  <si>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</si>
  <si>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</si>
  <si>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</si>
  <si>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</si>
  <si>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</si>
  <si>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</si>
  <si>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</si>
  <si>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</si>
  <si>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</si>
  <si>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</si>
  <si>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</si>
  <si>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</si>
  <si>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</si>
  <si>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</si>
  <si>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</si>
  <si>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</si>
  <si>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</si>
  <si>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</si>
  <si>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</si>
  <si>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</si>
  <si>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</si>
  <si>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</si>
  <si>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</si>
  <si>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</si>
  <si>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</si>
  <si>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</si>
  <si>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</si>
  <si>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</si>
  <si>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</si>
  <si>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</si>
  <si>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</si>
  <si>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</si>
  <si>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</si>
  <si>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</si>
  <si>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</si>
  <si>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</si>
  <si>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</si>
  <si>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</si>
  <si>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</si>
  <si>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</si>
  <si>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</si>
  <si>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</si>
  <si>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</si>
  <si>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</si>
  <si>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</si>
  <si>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</si>
  <si>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</si>
  <si>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</si>
  <si>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</si>
  <si>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</si>
  <si>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</si>
  <si>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</si>
  <si>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</si>
  <si>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</si>
  <si>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</si>
  <si>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</si>
  <si>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</si>
  <si>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</si>
  <si>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</si>
  <si>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</si>
  <si>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</si>
  <si>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</si>
  <si>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</si>
  <si>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</si>
  <si>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</si>
  <si>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</si>
  <si>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</si>
  <si>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</si>
  <si>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</si>
  <si>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</si>
  <si>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</si>
  <si>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</si>
  <si>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</si>
  <si>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</si>
  <si>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</si>
  <si>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</si>
  <si>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</si>
  <si>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</si>
  <si>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</si>
  <si>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</si>
  <si>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</si>
  <si>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</si>
  <si>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</si>
  <si>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</si>
  <si>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</si>
  <si>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</si>
  <si>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</si>
  <si>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</si>
  <si>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</si>
  <si>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</si>
  <si>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</si>
  <si>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</si>
  <si>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</si>
  <si>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</si>
  <si>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</si>
  <si>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</si>
  <si>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</si>
  <si>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</si>
  <si>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</si>
  <si>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</si>
  <si>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</si>
  <si>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</si>
  <si>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</si>
  <si>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</si>
  <si>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</si>
  <si>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</si>
  <si>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</si>
  <si>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</si>
  <si>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</si>
  <si>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</si>
  <si>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</si>
  <si>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</si>
  <si>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</si>
  <si>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</si>
  <si>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</si>
  <si>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</si>
  <si>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</si>
  <si>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</si>
  <si>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</si>
  <si>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</si>
  <si>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</si>
  <si>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</si>
  <si>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</si>
  <si>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</si>
  <si>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</si>
  <si>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</si>
  <si>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</si>
  <si>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</si>
  <si>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</si>
  <si>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</si>
  <si>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</si>
  <si>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</si>
  <si>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</si>
  <si>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</si>
  <si>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</si>
  <si>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</si>
  <si>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</si>
  <si>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</si>
  <si>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</si>
  <si>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</si>
  <si>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</si>
  <si>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</si>
  <si>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</si>
  <si>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</si>
  <si>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</si>
  <si>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</si>
  <si>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</si>
  <si>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</si>
  <si>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</si>
  <si>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</si>
  <si>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</si>
  <si>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</si>
  <si>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</si>
  <si>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</si>
  <si>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</si>
  <si>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</si>
  <si>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</si>
  <si>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</si>
  <si>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</si>
  <si>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</si>
  <si>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</si>
  <si>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</si>
  <si>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</si>
  <si>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</si>
  <si>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</si>
  <si>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</si>
  <si>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</si>
  <si>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</si>
  <si>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</si>
  <si>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</si>
  <si>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</si>
  <si>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</si>
  <si>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</si>
  <si>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</si>
  <si>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</si>
  <si>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</si>
  <si>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</si>
  <si>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</si>
  <si>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</si>
  <si>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</si>
  <si>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</si>
  <si>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</si>
  <si>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</si>
  <si>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</si>
  <si>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</si>
  <si>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</si>
  <si>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</si>
  <si>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</si>
  <si>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</si>
  <si>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</si>
  <si>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</si>
  <si>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</si>
  <si>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</si>
  <si>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</si>
  <si>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</si>
  <si>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</si>
  <si>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</si>
  <si>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</si>
  <si>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</si>
  <si>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</si>
  <si>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</si>
  <si>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</si>
  <si>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</si>
  <si>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</si>
  <si>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</si>
  <si>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</si>
  <si>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</si>
  <si>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</si>
  <si>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</si>
  <si>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</si>
  <si>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</si>
  <si>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</si>
  <si>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</si>
  <si>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</si>
  <si>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</si>
  <si>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</si>
  <si>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</si>
  <si>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</si>
  <si>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</si>
  <si>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</si>
  <si>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</si>
  <si>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</si>
  <si>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</si>
  <si>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</si>
  <si>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</si>
  <si>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</si>
  <si>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</si>
  <si>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</si>
  <si>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</si>
  <si>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</si>
  <si>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</si>
  <si>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</si>
  <si>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</si>
  <si>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</si>
  <si>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</si>
  <si>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</si>
  <si>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</si>
  <si>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</si>
  <si>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</si>
  <si>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</si>
  <si>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</si>
  <si>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</si>
  <si>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</si>
  <si>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</si>
  <si>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</si>
  <si>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</si>
  <si>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</si>
  <si>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</si>
  <si>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</si>
  <si>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</si>
  <si>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</si>
  <si>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</si>
  <si>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</si>
  <si>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</si>
  <si>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</si>
  <si>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</si>
  <si>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</si>
  <si>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</si>
  <si>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</si>
  <si>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</si>
  <si>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</si>
  <si>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</si>
  <si>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</si>
  <si>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</si>
  <si>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</si>
  <si>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</si>
  <si>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</si>
  <si>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</si>
  <si>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</si>
  <si>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</si>
  <si>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</si>
  <si>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</si>
  <si>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</si>
  <si>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</si>
  <si>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</si>
  <si>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</si>
  <si>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</si>
  <si>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</si>
  <si>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</si>
  <si>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</si>
  <si>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</si>
  <si>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</si>
  <si>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</si>
  <si>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</si>
  <si>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</si>
  <si>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</si>
  <si>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</si>
  <si>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</si>
  <si>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</si>
  <si>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</si>
  <si>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</si>
  <si>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</si>
  <si>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</si>
  <si>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</si>
  <si>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</si>
  <si>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</si>
  <si>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</si>
  <si>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</si>
  <si>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</si>
  <si>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</si>
  <si>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</si>
  <si>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</si>
  <si>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</si>
  <si>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</si>
  <si>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</si>
  <si>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</si>
  <si>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</si>
  <si>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</si>
  <si>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</si>
  <si>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</si>
  <si>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</si>
  <si>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</si>
  <si>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</si>
  <si>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</si>
  <si>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</si>
  <si>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</si>
  <si>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</si>
  <si>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</si>
  <si>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</si>
  <si>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</si>
  <si>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</si>
  <si>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</si>
  <si>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</si>
  <si>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</si>
  <si>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</si>
  <si>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</si>
  <si>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</si>
  <si>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</si>
  <si>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</si>
  <si>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</si>
  <si>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</si>
  <si>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</si>
  <si>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</si>
  <si>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</si>
  <si>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</si>
  <si>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</si>
  <si>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</si>
  <si>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</si>
  <si>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</si>
  <si>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</si>
  <si>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</si>
  <si>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</si>
  <si>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</si>
  <si>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</si>
  <si>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</si>
  <si>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</si>
  <si>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</si>
  <si>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</si>
  <si>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</si>
  <si>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</si>
  <si>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</si>
  <si>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</si>
  <si>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</si>
  <si>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</si>
  <si>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</si>
  <si>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</si>
  <si>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</si>
  <si>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</si>
  <si>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</si>
  <si>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</si>
  <si>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</si>
  <si>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</si>
  <si>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</si>
  <si>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</si>
  <si>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</si>
  <si>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</si>
  <si>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</si>
  <si>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</si>
  <si>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</si>
  <si>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</si>
  <si>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</si>
  <si>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</si>
  <si>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</si>
  <si>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</si>
  <si>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</si>
  <si>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</si>
  <si>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</si>
  <si>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</si>
  <si>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</si>
  <si>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</si>
  <si>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</si>
  <si>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</si>
  <si>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</si>
  <si>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</si>
  <si>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</si>
  <si>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</si>
  <si>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</si>
  <si>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</si>
  <si>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</si>
  <si>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</si>
  <si>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</si>
  <si>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</si>
  <si>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</si>
  <si>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</si>
  <si>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</si>
  <si>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</si>
  <si>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</si>
  <si>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</si>
  <si>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</si>
  <si>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</si>
  <si>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</si>
  <si>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</si>
  <si>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</si>
  <si>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</si>
  <si>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</si>
  <si>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</si>
  <si>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</si>
  <si>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</si>
  <si>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</si>
  <si>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</si>
  <si>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</si>
  <si>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</si>
  <si>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</si>
  <si>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</si>
  <si>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</si>
  <si>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</si>
  <si>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</si>
  <si>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</si>
  <si>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</si>
  <si>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</si>
  <si>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</si>
  <si>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</si>
  <si>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</si>
  <si>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</si>
  <si>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</si>
  <si>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</si>
  <si>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</si>
  <si>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</si>
  <si>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</si>
  <si>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</si>
  <si>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</si>
  <si>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</si>
  <si>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</si>
  <si>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</si>
  <si>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</si>
  <si>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</si>
  <si>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</si>
  <si>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</si>
  <si>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</si>
  <si>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</si>
  <si>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</si>
  <si>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</si>
  <si>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</si>
  <si>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</si>
  <si>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</si>
  <si>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</si>
  <si>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</si>
  <si>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</si>
  <si>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</si>
  <si>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</si>
  <si>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</si>
  <si>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</si>
  <si>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</si>
  <si>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</si>
  <si>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</si>
  <si>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</si>
  <si>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</si>
  <si>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</si>
  <si>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</si>
  <si>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</si>
  <si>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</si>
  <si>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</si>
  <si>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</si>
  <si>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</si>
  <si>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</si>
  <si>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</si>
  <si>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</si>
  <si>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</si>
  <si>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</si>
  <si>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</si>
  <si>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</si>
  <si>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</si>
  <si>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</si>
  <si>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</si>
  <si>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</si>
  <si>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</si>
  <si>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</si>
  <si>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</si>
  <si>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</si>
  <si>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</si>
  <si>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</si>
  <si>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</si>
  <si>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</si>
  <si>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</si>
  <si>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</si>
  <si>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</si>
  <si>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</si>
  <si>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</si>
  <si>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</si>
  <si>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</si>
  <si>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</si>
  <si>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</si>
  <si>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</si>
  <si>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</si>
  <si>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</si>
  <si>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</si>
  <si>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</si>
  <si>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</si>
  <si>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</si>
  <si>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</si>
  <si>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</si>
  <si>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</si>
  <si>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</si>
  <si>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</si>
  <si>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</si>
  <si>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</si>
  <si>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</si>
  <si>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</si>
  <si>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</si>
  <si>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</si>
  <si>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</si>
  <si>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</si>
  <si>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</si>
  <si>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</si>
  <si>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</si>
  <si>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</si>
  <si>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</si>
  <si>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</si>
  <si>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</si>
  <si>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</si>
  <si>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</si>
  <si>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</si>
  <si>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</si>
  <si>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</si>
  <si>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</si>
  <si>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</si>
  <si>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</si>
  <si>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</si>
  <si>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</si>
  <si>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</si>
  <si>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</si>
  <si>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</si>
  <si>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</si>
  <si>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</si>
  <si>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</si>
  <si>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</si>
  <si>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</si>
  <si>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</si>
  <si>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</si>
  <si>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</si>
  <si>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</si>
  <si>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</si>
  <si>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</si>
  <si>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</si>
  <si>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</si>
  <si>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</si>
  <si>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</si>
  <si>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</si>
  <si>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</si>
  <si>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</si>
  <si>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</si>
  <si>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</si>
  <si>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</si>
  <si>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</si>
  <si>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</si>
  <si>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</si>
  <si>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</si>
  <si>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</si>
  <si>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</si>
  <si>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</si>
  <si>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</si>
  <si>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</si>
  <si>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</si>
  <si>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</si>
  <si>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</si>
  <si>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</si>
  <si>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</si>
  <si>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</si>
  <si>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</si>
  <si>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</si>
  <si>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</si>
  <si>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</si>
  <si>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</si>
  <si>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</si>
  <si>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</si>
  <si>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</si>
  <si>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</si>
  <si>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</si>
  <si>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</si>
  <si>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</si>
  <si>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</si>
  <si>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</si>
  <si>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</si>
  <si>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</si>
  <si>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</si>
  <si>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</si>
  <si>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</si>
  <si>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</si>
  <si>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</si>
  <si>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</si>
  <si>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</si>
  <si>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</si>
  <si>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</si>
  <si>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</si>
  <si>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</si>
  <si>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</si>
  <si>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</si>
  <si>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</si>
  <si>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</si>
  <si>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</si>
  <si>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</si>
  <si>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</si>
  <si>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</si>
  <si>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</si>
  <si>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</si>
  <si>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</si>
  <si>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</si>
  <si>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</si>
  <si>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</si>
  <si>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</si>
  <si>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</si>
  <si>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</si>
  <si>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</si>
  <si>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</si>
  <si>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</si>
  <si>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</si>
  <si>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</si>
  <si>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</si>
  <si>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</si>
  <si>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</si>
  <si>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</si>
  <si>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</si>
  <si>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</si>
  <si>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</si>
  <si>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</si>
  <si>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</si>
  <si>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</si>
  <si>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</si>
  <si>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</si>
  <si>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</si>
  <si>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</si>
  <si>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</si>
  <si>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</si>
  <si>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</si>
  <si>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</si>
  <si>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</si>
  <si>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</si>
  <si>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</si>
  <si>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</si>
  <si>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</si>
  <si>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</si>
  <si>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</si>
  <si>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</si>
  <si>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</si>
  <si>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</si>
  <si>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</si>
  <si>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</si>
  <si>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</si>
  <si>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</si>
  <si>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</si>
  <si>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</si>
  <si>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</si>
  <si>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</si>
  <si>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</si>
  <si>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</si>
  <si>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</si>
  <si>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</si>
  <si>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</si>
  <si>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</si>
  <si>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</si>
  <si>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</si>
  <si>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</si>
  <si>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</si>
  <si>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</si>
  <si>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</si>
  <si>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</si>
  <si>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</si>
  <si>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</si>
  <si>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</si>
  <si>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</si>
  <si>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</si>
  <si>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</si>
  <si>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</si>
  <si>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</si>
  <si>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</si>
  <si>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</si>
  <si>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</si>
  <si>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</si>
  <si>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</si>
  <si>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</si>
  <si>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</si>
  <si>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</si>
  <si>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</si>
  <si>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</si>
  <si>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</si>
  <si>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</si>
  <si>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</si>
  <si>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</si>
  <si>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</si>
  <si>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</si>
  <si>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</si>
  <si>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</si>
  <si>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</si>
  <si>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</si>
  <si>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</si>
  <si>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</si>
  <si>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</si>
  <si>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</si>
  <si>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</si>
  <si>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</si>
  <si>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</si>
  <si>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</si>
  <si>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</si>
  <si>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</si>
  <si>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</si>
  <si>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</si>
  <si>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</si>
  <si>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</si>
  <si>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</si>
  <si>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</si>
  <si>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</si>
  <si>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</si>
  <si>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</si>
  <si>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</si>
  <si>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</si>
  <si>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</si>
  <si>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</si>
  <si>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</si>
  <si>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</si>
  <si>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</si>
  <si>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</si>
  <si>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</si>
  <si>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</si>
  <si>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</si>
  <si>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</si>
  <si>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</si>
  <si>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</si>
  <si>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</si>
  <si>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</si>
  <si>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</si>
  <si>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</si>
  <si>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</si>
  <si>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</si>
  <si>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</si>
  <si>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</si>
  <si>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</si>
  <si>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</si>
  <si>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</si>
  <si>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</si>
  <si>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</si>
  <si>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</si>
  <si>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</si>
  <si>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</si>
  <si>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</si>
  <si>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</si>
  <si>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</si>
  <si>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</si>
  <si>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</si>
  <si>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</si>
  <si>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</si>
  <si>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</si>
  <si>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</si>
  <si>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</si>
  <si>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</si>
  <si>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</si>
  <si>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</si>
  <si>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</si>
  <si>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</si>
  <si>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</si>
  <si>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</si>
  <si>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</si>
  <si>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</si>
  <si>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</si>
  <si>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</si>
  <si>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</si>
  <si>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</si>
  <si>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</si>
  <si>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</si>
  <si>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</si>
  <si>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</si>
  <si>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</si>
  <si>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</si>
  <si>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</si>
  <si>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</si>
  <si>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</si>
  <si>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</si>
  <si>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</si>
  <si>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</si>
  <si>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</si>
  <si>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</si>
  <si>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</si>
  <si>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</si>
  <si>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</si>
  <si>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</si>
  <si>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</si>
  <si>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</si>
  <si>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</si>
  <si>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</si>
  <si>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</si>
  <si>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</si>
  <si>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</si>
  <si>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</si>
  <si>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</si>
  <si>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</si>
  <si>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</si>
  <si>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</si>
  <si>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</si>
  <si>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</si>
  <si>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</si>
  <si>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</si>
  <si>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</si>
  <si>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</si>
  <si>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</si>
  <si>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</si>
  <si>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</si>
  <si>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</si>
  <si>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</si>
  <si>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</si>
  <si>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</si>
  <si>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</si>
  <si>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</si>
  <si>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</si>
  <si>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</si>
  <si>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</si>
  <si>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</si>
  <si>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</si>
  <si>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</si>
  <si>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</si>
  <si>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</si>
  <si>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</si>
  <si>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</si>
  <si>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</si>
  <si>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</si>
  <si>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</si>
  <si>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</si>
  <si>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</si>
  <si>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</si>
  <si>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</si>
  <si>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</si>
  <si>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</si>
  <si>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</si>
  <si>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</si>
  <si>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</si>
  <si>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</si>
  <si>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</si>
  <si>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</si>
  <si>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</si>
  <si>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</si>
  <si>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</si>
  <si>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</si>
  <si>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</si>
  <si>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</si>
  <si>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</si>
  <si>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</si>
  <si>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</si>
  <si>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</si>
  <si>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</si>
  <si>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</si>
  <si>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</si>
  <si>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</si>
  <si>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</si>
  <si>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</si>
  <si>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</si>
  <si>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</si>
  <si>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</si>
  <si>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</si>
  <si>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</si>
  <si>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</si>
  <si>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</si>
  <si>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</si>
  <si>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</si>
  <si>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</si>
  <si>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</si>
  <si>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</si>
  <si>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</si>
  <si>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</si>
  <si>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</si>
  <si>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</si>
  <si>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</si>
  <si>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</si>
  <si>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</si>
  <si>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</si>
  <si>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</si>
  <si>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</si>
  <si>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</si>
  <si>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</si>
  <si>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</si>
  <si>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</si>
  <si>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</si>
  <si>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</si>
  <si>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</si>
  <si>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</si>
  <si>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</si>
  <si>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</si>
  <si>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</si>
  <si>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</si>
  <si>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</si>
  <si>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</si>
  <si>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</si>
  <si>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</si>
  <si>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</si>
  <si>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</si>
  <si>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</si>
  <si>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</si>
  <si>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</si>
  <si>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</si>
  <si>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</si>
  <si>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</si>
  <si>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</si>
  <si>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</si>
  <si>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</si>
  <si>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</si>
  <si>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</si>
  <si>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</si>
  <si>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</si>
  <si>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</si>
  <si>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</si>
  <si>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</si>
  <si>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</si>
  <si>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</si>
  <si>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</si>
  <si>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</si>
  <si>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</si>
  <si>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</si>
  <si>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</si>
  <si>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</si>
  <si>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</si>
  <si>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</si>
  <si>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</si>
  <si>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</si>
  <si>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</si>
  <si>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</si>
  <si>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</si>
  <si>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</si>
  <si>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</si>
  <si>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</si>
  <si>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</si>
  <si>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</si>
  <si>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</si>
  <si>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</si>
  <si>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</si>
  <si>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</si>
  <si>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</si>
  <si>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</si>
  <si>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</si>
  <si>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</si>
  <si>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</si>
  <si>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</si>
  <si>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</si>
  <si>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</si>
  <si>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</si>
  <si>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</si>
  <si>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</si>
  <si>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</si>
  <si>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</si>
  <si>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</si>
  <si>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</si>
  <si>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</si>
  <si>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</si>
  <si>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</si>
  <si>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</si>
  <si>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</si>
  <si>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</si>
  <si>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</si>
  <si>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</si>
  <si>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</si>
  <si>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</si>
  <si>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</si>
  <si>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</si>
  <si>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</si>
  <si>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</si>
  <si>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</si>
  <si>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</si>
  <si>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</si>
  <si>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</si>
  <si>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</si>
  <si>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</si>
  <si>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</si>
  <si>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</si>
  <si>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</si>
  <si>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</si>
  <si>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</si>
  <si>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</si>
  <si>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</si>
  <si>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</si>
  <si>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</si>
  <si>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</si>
  <si>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</si>
  <si>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</si>
  <si>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</si>
  <si>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</si>
  <si>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</si>
  <si>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</si>
  <si>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</si>
  <si>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</si>
  <si>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</si>
  <si>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</si>
  <si>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</si>
  <si>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</si>
  <si>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</si>
  <si>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</si>
  <si>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</si>
  <si>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</si>
  <si>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</si>
  <si>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</si>
  <si>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</si>
  <si>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</si>
  <si>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</si>
  <si>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</si>
  <si>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</si>
  <si>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</si>
  <si>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</si>
  <si>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</si>
  <si>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</si>
  <si>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</si>
  <si>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</si>
  <si>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</si>
  <si>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</si>
  <si>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</si>
  <si>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</si>
  <si>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</si>
  <si>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</si>
  <si>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</si>
  <si>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</si>
  <si>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</si>
  <si>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</si>
  <si>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</si>
  <si>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</si>
  <si>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</si>
  <si>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</si>
  <si>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</si>
  <si>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</si>
  <si>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</si>
  <si>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</si>
  <si>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</si>
  <si>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</si>
  <si>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</si>
  <si>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</si>
  <si>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</si>
  <si>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</si>
  <si>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</si>
  <si>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</si>
  <si>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</si>
  <si>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</si>
  <si>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</si>
  <si>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</si>
  <si>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</si>
  <si>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</si>
  <si>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</si>
  <si>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</si>
  <si>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</si>
  <si>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</si>
  <si>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</si>
  <si>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</si>
  <si>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</si>
  <si>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</si>
  <si>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</si>
  <si>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</si>
  <si>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</si>
  <si>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</si>
  <si>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</si>
  <si>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</si>
  <si>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</si>
  <si>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</si>
  <si>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</si>
  <si>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</si>
  <si>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</si>
  <si>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</si>
  <si>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</si>
  <si>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</si>
  <si>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</si>
  <si>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</si>
  <si>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</si>
  <si>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</si>
  <si>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</si>
  <si>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</si>
  <si>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</si>
  <si>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</si>
  <si>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</si>
  <si>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</si>
  <si>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</si>
  <si>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</si>
  <si>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</si>
  <si>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</si>
  <si>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</si>
  <si>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</si>
  <si>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</si>
  <si>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</si>
  <si>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</si>
  <si>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</si>
  <si>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</si>
  <si>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</si>
  <si>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</si>
  <si>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</si>
  <si>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</si>
  <si>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</si>
  <si>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</si>
  <si>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</si>
  <si>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</si>
  <si>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</si>
  <si>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</si>
  <si>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</si>
  <si>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</si>
  <si>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</si>
  <si>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</si>
  <si>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</si>
  <si>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</si>
  <si>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</si>
  <si>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</si>
  <si>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</si>
  <si>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</si>
  <si>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</si>
  <si>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</si>
  <si>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</si>
  <si>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</si>
  <si>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</si>
  <si>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</si>
  <si>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</si>
  <si>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</si>
  <si>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</si>
  <si>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</si>
  <si>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</si>
  <si>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</si>
  <si>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</si>
  <si>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</si>
  <si>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</si>
  <si>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</si>
  <si>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</si>
  <si>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</si>
  <si>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</si>
  <si>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</si>
  <si>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</si>
  <si>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</si>
  <si>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</si>
  <si>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</si>
  <si>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</si>
  <si>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</si>
  <si>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</si>
  <si>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</si>
  <si>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</si>
  <si>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</si>
  <si>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</si>
  <si>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</si>
  <si>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</si>
  <si>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</si>
  <si>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</si>
  <si>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</si>
  <si>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</si>
  <si>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</si>
  <si>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</si>
  <si>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</si>
  <si>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</si>
  <si>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</si>
  <si>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</si>
  <si>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</si>
  <si>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</si>
  <si>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</si>
  <si>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</si>
  <si>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</si>
  <si>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</si>
  <si>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</si>
  <si>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</si>
  <si>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</si>
  <si>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</si>
  <si>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</si>
  <si>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</si>
  <si>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</si>
  <si>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</si>
  <si>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</si>
  <si>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</si>
  <si>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</si>
  <si>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</si>
  <si>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</si>
  <si>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</si>
  <si>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</si>
  <si>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</si>
  <si>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</si>
  <si>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</si>
  <si>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</si>
  <si>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</si>
  <si>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</si>
  <si>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</si>
  <si>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</si>
  <si>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</si>
  <si>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</si>
  <si>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</si>
  <si>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</si>
  <si>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</si>
  <si>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</si>
  <si>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</si>
  <si>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</si>
  <si>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</si>
  <si>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</si>
  <si>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</si>
  <si>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</si>
  <si>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</si>
  <si>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</si>
  <si>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</si>
  <si>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</si>
  <si>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</si>
  <si>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</si>
  <si>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</si>
  <si>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</si>
  <si>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</si>
  <si>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</si>
  <si>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</si>
  <si>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</si>
  <si>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</si>
  <si>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</si>
  <si>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</si>
  <si>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</si>
  <si>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</si>
  <si>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</si>
  <si>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</si>
  <si>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</si>
  <si>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</si>
  <si>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</si>
  <si>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</si>
  <si>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</si>
  <si>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</si>
  <si>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</si>
  <si>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</si>
  <si>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</si>
  <si>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</si>
  <si>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</si>
  <si>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</si>
  <si>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</si>
  <si>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</si>
  <si>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</si>
  <si>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</si>
  <si>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</si>
  <si>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</si>
  <si>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</si>
  <si>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</si>
  <si>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</si>
  <si>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</si>
  <si>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</si>
  <si>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</si>
  <si>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</si>
  <si>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</si>
  <si>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</si>
  <si>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</si>
  <si>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</si>
  <si>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</si>
  <si>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</si>
  <si>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</si>
  <si>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</si>
  <si>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</si>
  <si>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</si>
  <si>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</si>
  <si>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</si>
  <si>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</si>
  <si>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</si>
  <si>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</si>
  <si>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</si>
  <si>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</si>
  <si>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</si>
  <si>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</si>
  <si>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</si>
  <si>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</si>
  <si>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</si>
  <si>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</si>
  <si>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</si>
  <si>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</si>
  <si>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</si>
  <si>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</si>
  <si>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</si>
  <si>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</si>
  <si>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</si>
  <si>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</si>
  <si>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</si>
  <si>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</si>
  <si>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</si>
  <si>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</si>
  <si>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</si>
  <si>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</si>
  <si>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</si>
  <si>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</si>
  <si>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</si>
  <si>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</si>
  <si>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</si>
  <si>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</si>
  <si>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</si>
  <si>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</si>
  <si>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</si>
  <si>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</si>
  <si>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</si>
  <si>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</si>
  <si>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</si>
  <si>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</si>
  <si>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</si>
  <si>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</si>
  <si>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</si>
  <si>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</si>
  <si>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</si>
  <si>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</si>
  <si>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</si>
  <si>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</si>
  <si>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</si>
  <si>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</si>
  <si>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</si>
  <si>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</si>
  <si>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</si>
  <si>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</si>
  <si>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</si>
  <si>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</si>
  <si>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</si>
  <si>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</si>
  <si>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</si>
  <si>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</si>
  <si>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</si>
  <si>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</si>
  <si>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</si>
  <si>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</si>
  <si>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</si>
  <si>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</si>
  <si>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</si>
  <si>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</si>
  <si>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</si>
  <si>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</si>
  <si>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</si>
  <si>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</si>
  <si>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</si>
  <si>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</si>
  <si>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</si>
  <si>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</si>
  <si>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</si>
  <si>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</si>
  <si>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</si>
  <si>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</si>
  <si>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</si>
  <si>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</si>
  <si>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</si>
  <si>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</si>
  <si>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</si>
  <si>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</si>
  <si>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</si>
  <si>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</si>
  <si>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</si>
  <si>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</si>
  <si>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</si>
  <si>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</si>
  <si>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</si>
  <si>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</si>
  <si>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</si>
  <si>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</si>
  <si>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</si>
  <si>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</si>
  <si>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</si>
  <si>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</si>
  <si>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</si>
  <si>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</si>
  <si>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</si>
  <si>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</si>
  <si>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</si>
  <si>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</si>
  <si>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</si>
  <si>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</si>
  <si>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</si>
  <si>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</si>
  <si>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</si>
  <si>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</si>
  <si>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</si>
  <si>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</si>
  <si>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</si>
  <si>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</si>
  <si>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</si>
  <si>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</si>
  <si>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</si>
  <si>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</si>
  <si>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</si>
  <si>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</si>
  <si>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</si>
  <si>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</si>
  <si>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</si>
  <si>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</si>
  <si>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</si>
  <si>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</si>
  <si>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</si>
  <si>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</si>
  <si>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</si>
  <si>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</si>
  <si>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</si>
  <si>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</si>
  <si>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</si>
  <si>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</si>
  <si>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</si>
  <si>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</si>
  <si>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</si>
  <si>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</si>
  <si>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</si>
  <si>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</si>
  <si>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</si>
  <si>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</si>
  <si>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</si>
  <si>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</si>
  <si>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</si>
  <si>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</si>
  <si>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</si>
  <si>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</si>
  <si>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</si>
  <si>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</si>
  <si>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</si>
  <si>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</si>
  <si>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</si>
  <si>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</si>
  <si>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</si>
  <si>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</si>
  <si>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</si>
  <si>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</si>
  <si>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</si>
  <si>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</si>
  <si>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</si>
  <si>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</si>
  <si>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</si>
  <si>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</si>
  <si>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</si>
  <si>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</si>
  <si>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</si>
  <si>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</si>
  <si>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</si>
  <si>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</si>
  <si>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</si>
  <si>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</si>
  <si>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</si>
  <si>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</si>
  <si>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</si>
  <si>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</si>
  <si>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</si>
  <si>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</si>
  <si>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</si>
  <si>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</si>
  <si>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</si>
  <si>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</si>
  <si>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</si>
  <si>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</si>
  <si>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</si>
  <si>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</si>
  <si>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</si>
  <si>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</si>
  <si>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</si>
  <si>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</si>
  <si>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</si>
  <si>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</si>
  <si>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</si>
  <si>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</si>
  <si>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</si>
  <si>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</si>
  <si>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</si>
  <si>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</si>
  <si>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</si>
  <si>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</si>
  <si>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</si>
  <si>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</si>
  <si>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</si>
  <si>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</si>
  <si>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</si>
  <si>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</si>
  <si>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</si>
  <si>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</si>
  <si>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</si>
  <si>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</si>
  <si>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</si>
  <si>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</si>
  <si>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</si>
  <si>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</si>
  <si>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</si>
  <si>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</si>
  <si>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</si>
  <si>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</si>
  <si>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</si>
  <si>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</si>
  <si>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</si>
  <si>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</si>
  <si>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</si>
  <si>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</si>
  <si>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</si>
  <si>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</si>
  <si>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</si>
  <si>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</si>
  <si>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</si>
  <si>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</si>
  <si>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</si>
  <si>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</si>
  <si>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</si>
  <si>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</si>
  <si>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</si>
  <si>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</si>
  <si>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</si>
  <si>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</si>
  <si>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</si>
  <si>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</si>
  <si>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</si>
  <si>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</si>
  <si>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</si>
  <si>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</si>
  <si>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</si>
  <si>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</si>
  <si>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</si>
  <si>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</si>
  <si>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</si>
  <si>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</si>
  <si>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</si>
  <si>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</si>
  <si>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</si>
  <si>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</si>
  <si>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</si>
  <si>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</si>
  <si>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</si>
  <si>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</si>
  <si>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</si>
  <si>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</si>
  <si>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</si>
  <si>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</si>
  <si>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</si>
  <si>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</si>
  <si>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</si>
  <si>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</si>
  <si>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</si>
  <si>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</si>
  <si>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</si>
  <si>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</si>
  <si>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</si>
  <si>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</si>
  <si>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</si>
  <si>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</si>
  <si>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</si>
  <si>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</si>
  <si>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</si>
  <si>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</si>
  <si>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</si>
  <si>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</si>
  <si>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</si>
  <si>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</si>
  <si>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</si>
  <si>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</si>
  <si>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</si>
  <si>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</si>
  <si>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</si>
  <si>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</si>
  <si>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</si>
  <si>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</si>
  <si>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</si>
  <si>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</si>
  <si>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</si>
  <si>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</si>
  <si>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</si>
  <si>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</si>
  <si>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</si>
  <si>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</si>
  <si>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</si>
  <si>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</si>
  <si>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</si>
  <si>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</si>
  <si>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</si>
  <si>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</si>
  <si>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</si>
  <si>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</si>
  <si>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</si>
  <si>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</si>
  <si>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</si>
  <si>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</si>
  <si>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</si>
  <si>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</si>
  <si>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</si>
  <si>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</si>
  <si>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</si>
  <si>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</si>
  <si>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</si>
  <si>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</si>
  <si>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</si>
  <si>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</si>
  <si>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</si>
  <si>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</si>
  <si>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</si>
  <si>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</si>
  <si>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</si>
  <si>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</si>
  <si>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</si>
  <si>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</si>
  <si>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</si>
  <si>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</si>
  <si>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</si>
  <si>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</si>
  <si>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</si>
  <si>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</si>
  <si>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</si>
  <si>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</si>
  <si>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</si>
  <si>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</si>
  <si>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</si>
  <si>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</si>
  <si>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</si>
  <si>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</si>
  <si>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</si>
  <si>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</si>
  <si>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</si>
  <si>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</si>
  <si>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</si>
  <si>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</si>
  <si>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</si>
  <si>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</si>
  <si>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</si>
  <si>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</si>
  <si>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</si>
  <si>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</si>
  <si>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</si>
  <si>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</si>
  <si>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</si>
  <si>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</si>
  <si>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</si>
  <si>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</si>
  <si>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</si>
  <si>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</si>
  <si>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</si>
  <si>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</si>
  <si>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</si>
  <si>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</si>
  <si>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</si>
  <si>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</si>
  <si>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</si>
  <si>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</si>
  <si>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</si>
  <si>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</si>
  <si>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</si>
  <si>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</si>
  <si>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</si>
  <si>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</si>
  <si>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</si>
  <si>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</si>
  <si>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</si>
  <si>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</si>
  <si>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</si>
  <si>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</si>
  <si>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</si>
  <si>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</si>
  <si>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</si>
  <si>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</si>
  <si>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</si>
  <si>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</si>
  <si>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</si>
  <si>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</si>
  <si>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</si>
  <si>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</si>
  <si>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</si>
  <si>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</si>
  <si>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</si>
  <si>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</si>
  <si>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</si>
  <si>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</si>
  <si>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</si>
  <si>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</si>
  <si>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</si>
  <si>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</si>
  <si>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</si>
  <si>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</si>
  <si>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</si>
  <si>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</si>
  <si>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</si>
  <si>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</si>
  <si>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</si>
  <si>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</si>
  <si>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</si>
  <si>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</si>
  <si>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</si>
  <si>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</si>
  <si>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</si>
  <si>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</si>
  <si>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</si>
  <si>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</si>
  <si>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</si>
  <si>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</si>
  <si>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</si>
  <si>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</si>
  <si>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</si>
  <si>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</si>
  <si>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</si>
  <si>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</si>
  <si>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</si>
  <si>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</si>
  <si>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</si>
  <si>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</si>
  <si>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</si>
  <si>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</si>
  <si>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</si>
  <si>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</si>
  <si>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</si>
  <si>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</si>
  <si>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</si>
  <si>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</si>
  <si>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</si>
  <si>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</si>
  <si>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</si>
  <si>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</si>
  <si>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</si>
  <si>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</si>
  <si>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</si>
  <si>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</si>
  <si>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</si>
  <si>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</si>
  <si>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</si>
  <si>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</si>
  <si>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</si>
  <si>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</si>
  <si>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</si>
  <si>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</si>
  <si>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</si>
  <si>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</si>
  <si>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</si>
  <si>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</si>
  <si>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</si>
  <si>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</si>
  <si>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</si>
  <si>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</si>
  <si>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</si>
  <si>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</si>
  <si>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</si>
  <si>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</si>
  <si>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</si>
  <si>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</si>
  <si>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</si>
  <si>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</si>
  <si>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</si>
  <si>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</si>
  <si>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</si>
  <si>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</si>
  <si>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</si>
  <si>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</si>
  <si>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</si>
  <si>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</si>
  <si>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</si>
  <si>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</si>
  <si>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</si>
  <si>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</si>
  <si>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</si>
  <si>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</si>
  <si>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</si>
  <si>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</si>
  <si>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</si>
  <si>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</si>
  <si>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</si>
  <si>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</si>
  <si>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</si>
  <si>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</si>
  <si>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</si>
  <si>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</si>
  <si>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</si>
  <si>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</si>
  <si>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</si>
  <si>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</si>
  <si>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</si>
  <si>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</si>
  <si>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</si>
  <si>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</si>
  <si>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</si>
  <si>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</si>
  <si>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</si>
  <si>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</si>
  <si>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</si>
  <si>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</si>
  <si>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</si>
  <si>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</si>
  <si>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</si>
  <si>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</si>
  <si>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</si>
  <si>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</si>
  <si>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</si>
  <si>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</si>
  <si>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</si>
  <si>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</si>
  <si>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</si>
  <si>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</si>
  <si>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</si>
  <si>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</si>
  <si>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</si>
  <si>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</si>
  <si>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</si>
  <si>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</si>
  <si>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</si>
  <si>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</si>
  <si>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</si>
  <si>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</si>
  <si>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</si>
  <si>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</si>
  <si>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</si>
  <si>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</si>
  <si>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</si>
  <si>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</si>
  <si>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</si>
  <si>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</si>
  <si>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</si>
  <si>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</si>
  <si>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</si>
  <si>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</si>
  <si>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</si>
  <si>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</si>
  <si>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</si>
  <si>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</si>
  <si>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</si>
  <si>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</si>
  <si>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</si>
  <si>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</si>
  <si>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</si>
  <si>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</si>
  <si>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</si>
  <si>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</si>
  <si>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</si>
  <si>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</si>
  <si>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</si>
  <si>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</si>
  <si>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</si>
  <si>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</si>
  <si>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</si>
  <si>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</si>
  <si>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</si>
  <si>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</si>
  <si>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</si>
  <si>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</si>
  <si>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</si>
  <si>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</si>
  <si>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</si>
  <si>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</si>
  <si>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</si>
  <si>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</si>
  <si>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</si>
  <si>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</si>
  <si>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</si>
  <si>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</si>
  <si>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</si>
  <si>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</si>
  <si>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</si>
  <si>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</si>
  <si>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</si>
  <si>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</si>
  <si>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</si>
  <si>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</si>
  <si>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</si>
  <si>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</si>
  <si>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</si>
  <si>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</si>
  <si>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</si>
  <si>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</si>
  <si>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</si>
  <si>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</si>
  <si>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</si>
  <si>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</si>
  <si>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Aquascop</t>
  </si>
  <si>
    <t xml:space="preserve">V. Bouchareychas ; S. Charpenteau</t>
  </si>
  <si>
    <t xml:space="preserve">conforme AFNOR T90-395 oct. 2003</t>
  </si>
  <si>
    <t xml:space="preserve">Golo</t>
  </si>
  <si>
    <t xml:space="preserve">Campile</t>
  </si>
  <si>
    <t xml:space="preserve">06150185</t>
  </si>
  <si>
    <t xml:space="preserve">7178c IBMR Corse</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</si>
  <si>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</si>
  <si>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</si>
  <si>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</si>
  <si>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</si>
  <si>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</si>
  <si>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</si>
  <si>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</si>
  <si>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</si>
  <si>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</si>
  <si>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</si>
  <si>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moyen</t>
  </si>
  <si>
    <t xml:space="preserve">(moyen)</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</si>
  <si>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</si>
  <si>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</si>
  <si>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</si>
  <si>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</si>
  <si>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</si>
  <si>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</si>
  <si>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</si>
  <si>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</si>
  <si>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</si>
  <si>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</si>
  <si>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</si>
  <si>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</si>
  <si>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</si>
  <si>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</si>
  <si>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</si>
  <si>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</si>
  <si>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</si>
  <si>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</si>
  <si>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</si>
  <si>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</si>
  <si>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</si>
  <si>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</si>
  <si>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</si>
  <si>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</si>
  <si>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</si>
  <si>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</si>
  <si>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</si>
  <si>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</si>
  <si>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</si>
  <si>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</si>
  <si>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</si>
  <si>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</si>
  <si>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</si>
  <si>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</si>
  <si>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</si>
  <si>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</si>
  <si>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</si>
  <si>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</si>
  <si>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(2,34402 %)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</si>
  <si>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</si>
  <si>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</si>
  <si>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</si>
  <si>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</si>
  <si>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</si>
  <si>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</si>
  <si>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</si>
  <si>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</si>
  <si>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</si>
  <si>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</si>
  <si>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</si>
  <si>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</si>
  <si>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</si>
  <si>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</si>
  <si>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</si>
  <si>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</si>
  <si>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</si>
  <si>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</si>
  <si>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</si>
  <si>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NEWCOD</t>
  </si>
  <si>
    <t xml:space="preserve">Paspalum sp.</t>
  </si>
  <si>
    <t xml:space="preserve">Gomphoneis sp.</t>
  </si>
  <si>
    <t xml:space="preserve">Coleochaete sp.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</si>
  <si>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</si>
  <si>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</si>
  <si>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</si>
  <si>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</si>
  <si>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</si>
  <si>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</si>
  <si>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</si>
  <si>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</si>
  <si>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</si>
  <si>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</si>
  <si>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</si>
  <si>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</si>
  <si>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</si>
  <si>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</si>
  <si>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</si>
  <si>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</si>
  <si>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</si>
  <si>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</si>
  <si>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</si>
  <si>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</si>
  <si>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</si>
  <si>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</si>
  <si>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</si>
  <si>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</si>
  <si>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</si>
  <si>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</si>
  <si>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</si>
  <si>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</si>
  <si>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</si>
  <si>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</si>
  <si>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</si>
  <si>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</si>
  <si>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Angelica archangelica</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</si>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</sst>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sz val="10"/>
      <color rgb="FF000000"/>
      <name val="Arial"/>
      <family val="2"/>
    </font>
    <font>
      <b val="true"/>
      <i val="true"/>
      <sz val="10"/>
      <color rgb="FF000000"/>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FF00"/>
        <bgColor rgb="FFFFFF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92"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3" fillId="13" borderId="71" xfId="0" applyFont="true" applyBorder="true" applyAlignment="true" applyProtection="true">
      <alignment horizontal="center" vertical="top" textRotation="0" wrapText="false" indent="0" shrinkToFit="false"/>
      <protection locked="true" hidden="true"/>
    </xf>
    <xf numFmtId="164" fontId="94" fillId="11" borderId="60" xfId="0" applyFont="true" applyBorder="true" applyAlignment="true" applyProtection="true">
      <alignment horizontal="center" vertical="top" textRotation="0" wrapText="false" indent="0" shrinkToFit="false"/>
      <protection locked="true" hidden="true"/>
    </xf>
    <xf numFmtId="164" fontId="95"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6"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7" fillId="12" borderId="32" xfId="0" applyFont="true" applyBorder="true" applyAlignment="true" applyProtection="true">
      <alignment horizontal="left" vertical="top" textRotation="0" wrapText="false" indent="0" shrinkToFit="false"/>
      <protection locked="true" hidden="true"/>
    </xf>
    <xf numFmtId="164" fontId="98" fillId="12" borderId="33" xfId="0" applyFont="true" applyBorder="true" applyAlignment="true" applyProtection="true">
      <alignment horizontal="left" vertical="top" textRotation="0" wrapText="false" indent="0" shrinkToFit="false"/>
      <protection locked="true" hidden="true"/>
    </xf>
    <xf numFmtId="164" fontId="98" fillId="12" borderId="72" xfId="0" applyFont="true" applyBorder="true" applyAlignment="true" applyProtection="true">
      <alignment horizontal="left" vertical="top" textRotation="0" wrapText="false" indent="0" shrinkToFit="false"/>
      <protection locked="true" hidden="true"/>
    </xf>
    <xf numFmtId="164" fontId="98"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9"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7"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8"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100" fillId="0" borderId="0" xfId="0" applyFont="true" applyBorder="false" applyAlignment="false" applyProtection="true">
      <alignment horizontal="general" vertical="bottom" textRotation="0" wrapText="false" indent="0" shrinkToFit="false"/>
      <protection locked="true" hidden="true"/>
    </xf>
    <xf numFmtId="174" fontId="100" fillId="10" borderId="47" xfId="0" applyFont="true" applyBorder="true" applyAlignment="false" applyProtection="true">
      <alignment horizontal="general" vertical="bottom" textRotation="0" wrapText="false" indent="0" shrinkToFit="false"/>
      <protection locked="true" hidden="true"/>
    </xf>
    <xf numFmtId="164" fontId="100"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101" fillId="6" borderId="67" xfId="0" applyFont="true" applyBorder="true" applyAlignment="false" applyProtection="true">
      <alignment horizontal="general" vertical="bottom" textRotation="0" wrapText="false" indent="0" shrinkToFit="false"/>
      <protection locked="true" hidden="true"/>
    </xf>
    <xf numFmtId="174" fontId="102"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2"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100"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3" fillId="9" borderId="0" xfId="0" applyFont="true" applyBorder="true" applyAlignment="false" applyProtection="true">
      <alignment horizontal="general" vertical="bottom" textRotation="0" wrapText="false" indent="0" shrinkToFit="false"/>
      <protection locked="true" hidden="true"/>
    </xf>
    <xf numFmtId="164" fontId="103" fillId="9" borderId="33" xfId="0" applyFont="true" applyBorder="true" applyAlignment="false" applyProtection="true">
      <alignment horizontal="general" vertical="bottom" textRotation="0" wrapText="false" indent="0" shrinkToFit="false"/>
      <protection locked="true" hidden="true"/>
    </xf>
    <xf numFmtId="164" fontId="103"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2" fillId="9" borderId="61" xfId="0" applyFont="true" applyBorder="true" applyAlignment="true" applyProtection="true">
      <alignment horizontal="center" vertical="bottom" textRotation="0" wrapText="false" indent="0" shrinkToFit="false"/>
      <protection locked="true" hidden="true"/>
    </xf>
    <xf numFmtId="175" fontId="102"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7"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2" fillId="10" borderId="39" xfId="0" applyFont="true" applyBorder="true" applyAlignment="true" applyProtection="true">
      <alignment horizontal="right" vertical="bottom" textRotation="0" wrapText="false" indent="0" shrinkToFit="false"/>
      <protection locked="true" hidden="true"/>
    </xf>
    <xf numFmtId="174" fontId="102"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2" fillId="6" borderId="0" xfId="0" applyFont="true" applyBorder="false" applyAlignment="false" applyProtection="true">
      <alignment horizontal="general" vertical="bottom" textRotation="0" wrapText="false" indent="0" shrinkToFit="false"/>
      <protection locked="true" hidden="true"/>
    </xf>
    <xf numFmtId="164" fontId="103"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3"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2"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2" fillId="10" borderId="43" xfId="0" applyFont="true" applyBorder="true" applyAlignment="true" applyProtection="true">
      <alignment horizontal="right" vertical="bottom" textRotation="0" wrapText="false" indent="0" shrinkToFit="false"/>
      <protection locked="true" hidden="true"/>
    </xf>
    <xf numFmtId="174" fontId="102" fillId="10" borderId="43" xfId="0" applyFont="true" applyBorder="true" applyAlignment="true" applyProtection="false">
      <alignment horizontal="right" vertical="bottom" textRotation="0" wrapText="false" indent="0" shrinkToFit="false"/>
      <protection locked="true" hidden="false"/>
    </xf>
    <xf numFmtId="164" fontId="103"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9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9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7" fillId="9" borderId="19" xfId="0" applyFont="true" applyBorder="true" applyAlignment="true" applyProtection="false">
      <alignment horizontal="left" vertical="bottom" textRotation="0" wrapText="false" indent="0" shrinkToFit="false"/>
      <protection locked="true" hidden="false"/>
    </xf>
    <xf numFmtId="164" fontId="97"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2603</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2604</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2605</v>
      </c>
      <c r="C5" s="240"/>
      <c r="D5" s="241"/>
      <c r="E5" s="241"/>
      <c r="F5" s="241"/>
      <c r="G5" s="241"/>
      <c r="H5" s="241"/>
      <c r="I5" s="241"/>
      <c r="J5" s="241"/>
      <c r="K5" s="242" t="s">
        <v>2606</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2607</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2610</v>
      </c>
      <c r="B2" s="284"/>
      <c r="C2" s="285" t="s">
        <v>2611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2613</v>
      </c>
      <c r="B3" s="284"/>
      <c r="C3" s="283" t="s">
        <v>2614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41821</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11.4761904761905</v>
      </c>
      <c r="M5" s="323"/>
      <c r="N5" s="324" t="s">
        <v>130</v>
      </c>
      <c r="O5" s="325" t="n">
        <v>11.4210526315789</v>
      </c>
      <c r="P5" s="326"/>
      <c r="Q5" s="280"/>
      <c r="R5" s="280"/>
      <c r="S5" s="280"/>
      <c r="T5" s="280"/>
      <c r="U5" s="280"/>
      <c r="V5" s="280"/>
      <c r="W5" s="292"/>
      <c r="X5" s="312"/>
    </row>
    <row r="6" customFormat="false" ht="13.5" hidden="false" customHeight="false" outlineLevel="0" collapsed="false">
      <c r="A6" s="313" t="s">
        <v>2623</v>
      </c>
      <c r="B6" s="327" t="s">
        <v>2624</v>
      </c>
      <c r="C6" s="327" t="s">
        <v>2625</v>
      </c>
      <c r="D6" s="316"/>
      <c r="E6" s="316"/>
      <c r="F6" s="317"/>
      <c r="G6" s="318"/>
      <c r="H6" s="316"/>
      <c r="I6" s="328" t="s">
        <v>2626</v>
      </c>
      <c r="J6" s="329"/>
      <c r="K6" s="330"/>
      <c r="L6" s="331" t="s">
        <v>2627</v>
      </c>
      <c r="M6" s="332"/>
      <c r="N6" s="333" t="s">
        <v>2628</v>
      </c>
      <c r="O6" s="333"/>
      <c r="P6" s="334"/>
      <c r="Q6" s="280"/>
      <c r="R6" s="280"/>
      <c r="S6" s="280"/>
      <c r="T6" s="280"/>
      <c r="U6" s="280"/>
      <c r="V6" s="280"/>
      <c r="W6" s="292"/>
      <c r="X6" s="293"/>
    </row>
    <row r="7" customFormat="false" ht="12.75" hidden="false" customHeight="false" outlineLevel="0" collapsed="false">
      <c r="A7" s="335" t="s">
        <v>2629</v>
      </c>
      <c r="B7" s="336" t="n">
        <v>73</v>
      </c>
      <c r="C7" s="337" t="n">
        <v>27</v>
      </c>
      <c r="D7" s="338"/>
      <c r="E7" s="338"/>
      <c r="F7" s="339" t="n">
        <f aca="false">IF((OR((B7+C7=100),(B7+C7=0))),B7+C7,"ATTENTION")</f>
        <v>100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n">
        <f aca="false">IF(ISERROR(AVERAGE(I23:I82)),"     -",AVERAGE(I23:I82))</f>
        <v>8.57142857142857</v>
      </c>
      <c r="O8" s="354" t="n">
        <f aca="false">IF(ISERROR(AVERAGE(J23:J82)),"      -",AVERAGE(J23:J82))</f>
        <v>1.32142857142857</v>
      </c>
      <c r="P8" s="355"/>
      <c r="Q8" s="280"/>
      <c r="R8" s="280"/>
      <c r="S8" s="280"/>
      <c r="T8" s="280"/>
      <c r="U8" s="280"/>
      <c r="V8" s="280"/>
      <c r="W8" s="292"/>
      <c r="X8" s="293"/>
    </row>
    <row r="9" customFormat="false" ht="13.5" hidden="false" customHeight="false" outlineLevel="0" collapsed="false">
      <c r="A9" s="313" t="s">
        <v>2635</v>
      </c>
      <c r="B9" s="356" t="n">
        <v>3.1</v>
      </c>
      <c r="C9" s="357" t="n">
        <v>0.25</v>
      </c>
      <c r="D9" s="358"/>
      <c r="E9" s="358"/>
      <c r="F9" s="359" t="n">
        <f aca="false">($B9*$B$7+$C9*$C$7)/100</f>
        <v>2.3305</v>
      </c>
      <c r="G9" s="360"/>
      <c r="H9" s="361"/>
      <c r="I9" s="362"/>
      <c r="J9" s="363"/>
      <c r="K9" s="343"/>
      <c r="L9" s="364"/>
      <c r="M9" s="353" t="s">
        <v>2636</v>
      </c>
      <c r="N9" s="354" t="n">
        <f aca="false">IF(ISERROR(STDEVP(I23:I82)),"     -",STDEVP(I23:I82))</f>
        <v>5.59609922451454</v>
      </c>
      <c r="O9" s="354" t="n">
        <f aca="false">IF(ISERROR(STDEVP(J23:J82)),"      -",STDEVP(J23:J82))</f>
        <v>0.927884361197613</v>
      </c>
      <c r="P9" s="355"/>
      <c r="Q9" s="280"/>
      <c r="R9" s="280"/>
      <c r="S9" s="280"/>
      <c r="T9" s="280"/>
      <c r="U9" s="280"/>
      <c r="V9" s="280"/>
      <c r="W9" s="365"/>
      <c r="X9" s="366"/>
    </row>
    <row r="10" customFormat="false" ht="13.5" hidden="false" customHeight="false" outlineLevel="0" collapsed="false">
      <c r="A10" s="367" t="s">
        <v>2637</v>
      </c>
      <c r="B10" s="368" t="s">
        <v>2638</v>
      </c>
      <c r="C10" s="369" t="s">
        <v>2639</v>
      </c>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16</v>
      </c>
      <c r="O11" s="376" t="n">
        <f aca="false">MAX(J23:J82)</f>
        <v>3</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13</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7</v>
      </c>
      <c r="L13" s="386"/>
      <c r="M13" s="397" t="s">
        <v>2649</v>
      </c>
      <c r="N13" s="398" t="n">
        <f aca="false">COUNTIF(F23:F82,"&gt;0")</f>
        <v>31</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2</v>
      </c>
      <c r="L14" s="386"/>
      <c r="M14" s="401" t="s">
        <v>2652</v>
      </c>
      <c r="N14" s="402" t="n">
        <f aca="false">COUNTIF($I$23:$I$82,"&gt;-1")</f>
        <v>28</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6</v>
      </c>
      <c r="L15" s="386"/>
      <c r="M15" s="407" t="s">
        <v>2655</v>
      </c>
      <c r="N15" s="408" t="n">
        <f aca="false">COUNTIF(J23:J82,"=1")</f>
        <v>7</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12</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2</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3.12</v>
      </c>
      <c r="C20" s="436" t="n">
        <f aca="false">SUM(C23:C82)</f>
        <v>0.246</v>
      </c>
      <c r="D20" s="437"/>
      <c r="E20" s="438" t="s">
        <v>2661</v>
      </c>
      <c r="F20" s="439" t="n">
        <f aca="false">($B20*$B$7+$C20*$C$7)/100</f>
        <v>2.34402</v>
      </c>
      <c r="G20" s="440"/>
      <c r="H20" s="441"/>
      <c r="I20" s="442"/>
      <c r="J20" s="442"/>
      <c r="K20" s="443"/>
      <c r="L20" s="317"/>
      <c r="M20" s="444"/>
      <c r="N20" s="444"/>
      <c r="O20" s="445"/>
      <c r="P20" s="446"/>
      <c r="Q20" s="447" t="s">
        <v>2663</v>
      </c>
      <c r="R20" s="280"/>
      <c r="S20" s="280"/>
      <c r="T20" s="280"/>
      <c r="U20" s="280"/>
      <c r="V20" s="280"/>
      <c r="W20" s="420" t="s">
        <v>2664</v>
      </c>
    </row>
    <row r="21" customFormat="false" ht="12.75" hidden="false" customHeight="false" outlineLevel="0" collapsed="false">
      <c r="A21" s="448" t="s">
        <v>2665</v>
      </c>
      <c r="B21" s="449" t="n">
        <f aca="false">B20*B7/100</f>
        <v>2.2776</v>
      </c>
      <c r="C21" s="449" t="n">
        <f aca="false">C20*C7/100</f>
        <v>0.06642</v>
      </c>
      <c r="D21" s="381" t="str">
        <f aca="false">IF(F21=0,"",IF((ABS(F21-F19))&gt;(0.2*F21),CONCATENATE(" rec. par taxa (",F21," %) supérieur à 20 % !"),""))</f>
        <v> rec. par taxa (2,34402 %) supérieur à 20 % !</v>
      </c>
      <c r="E21" s="450" t="str">
        <f aca="false">IF(F21=0,"",IF((ABS(F21-F19))&gt;(0.2*F21),CONCATENATE("ATTENTION : écart entre rec. par grp (",F19," %) ","et",""),""))</f>
        <v>ATTENTION : écart entre rec. par grp (0 %) et</v>
      </c>
      <c r="F21" s="451" t="n">
        <f aca="false">B21+C21</f>
        <v>2.34402</v>
      </c>
      <c r="G21" s="452"/>
      <c r="H21" s="381"/>
      <c r="I21" s="453"/>
      <c r="J21" s="453"/>
      <c r="K21" s="454"/>
      <c r="L21" s="454"/>
      <c r="M21" s="455"/>
      <c r="N21" s="455"/>
      <c r="O21" s="456"/>
      <c r="P21" s="457"/>
      <c r="Q21" s="458" t="s">
        <v>2666</v>
      </c>
      <c r="R21" s="280"/>
      <c r="S21" s="280"/>
      <c r="T21" s="280"/>
      <c r="U21" s="280"/>
      <c r="V21" s="280"/>
      <c r="W21" s="420" t="s">
        <v>2667</v>
      </c>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t="s">
        <v>59</v>
      </c>
      <c r="B23" s="475" t="n">
        <v>0.01</v>
      </c>
      <c r="C23" s="476"/>
      <c r="D23" s="477" t="str">
        <f aca="false">IF(ISERROR(VLOOKUP($A23,'liste reference'!$A$7:$D$904,2,0)),IF(ISERROR(VLOOKUP($A23,'liste reference'!$B$7:$D$904,1,0)),"",VLOOKUP($A23,'liste reference'!$B$7:$D$904,1,0)),VLOOKUP($A23,'liste reference'!$A$7:$D$904,2,0))</f>
        <v>Audouinella sp.</v>
      </c>
      <c r="E23" s="477" t="e">
        <f aca="false">IF(D23="",0,VLOOKUP(D23,D$15:D22,1,0))</f>
        <v>#N/A</v>
      </c>
      <c r="F23" s="478" t="n">
        <f aca="false">($B23*$B$7+$C23*$C$7)/100</f>
        <v>0.0073</v>
      </c>
      <c r="G23" s="479" t="str">
        <f aca="false">IF(A23="","",IF(ISERROR(VLOOKUP($A23,'liste reference'!$A$7:$P$904,13,0)),IF(ISERROR(VLOOKUP($A23,'liste reference'!$B$7:$P$904,12,0)),"    -",VLOOKUP($A23,'liste reference'!$B$7:$P$904,12,0)),VLOOKUP($A23,'liste reference'!$A$7:$P$904,13,0)))</f>
        <v>ALG</v>
      </c>
      <c r="H23" s="480" t="n">
        <f aca="false">IF(A23="","x",IF(ISERROR(VLOOKUP($A23,'liste reference'!$A$8:$P$904,14,0)),IF(ISERROR(VLOOKUP($A23,'liste reference'!$B$8:$P$904,13,0)),"x",VLOOKUP($A23,'liste reference'!$B$8:$P$904,13,0)),VLOOKUP($A23,'liste reference'!$A$8:$P$904,14,0)))</f>
        <v>2</v>
      </c>
      <c r="I23" s="481" t="n">
        <f aca="false">IF(ISNUMBER(H23),IF(ISERROR(VLOOKUP($A23,'liste reference'!$A$7:$P$904,3,0)),IF(ISERROR(VLOOKUP($A23,'liste reference'!$B$7:$P$904,2,0)),"",VLOOKUP($A23,'liste reference'!$B$7:$P$904,2,0)),VLOOKUP($A23,'liste reference'!$A$7:$P$904,3,0)),"")</f>
        <v>13</v>
      </c>
      <c r="J23" s="481" t="n">
        <f aca="false">IF(ISNUMBER(H23),IF(ISERROR(VLOOKUP($A23,'liste reference'!$A$7:$P$904,4,0)),IF(ISERROR(VLOOKUP($A23,'liste reference'!$B$7:$P$904,3,0)),"",VLOOKUP($A23,'liste reference'!$B$7:$P$904,3,0)),VLOOKUP($A23,'liste reference'!$A$7:$P$904,4,0)),"")</f>
        <v>2</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Audouinella sp.</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6076</v>
      </c>
      <c r="Q23" s="486" t="n">
        <f aca="false">IF(ISTEXT(H23),"",(B23*$B$7/100)+(C23*$C$7/100))</f>
        <v>0.0073</v>
      </c>
      <c r="R23" s="487" t="n">
        <f aca="false">IF(OR(ISTEXT(H23),Q23=0),"",IF(Q23&lt;0.1,1,IF(Q23&lt;1,2,IF(Q23&lt;10,3,IF(Q23&lt;50,4,IF(Q23&gt;=50,5,""))))))</f>
        <v>1</v>
      </c>
      <c r="S23" s="487" t="n">
        <f aca="false">IF(ISERROR(R23*I23),0,R23*I23)</f>
        <v>13</v>
      </c>
      <c r="T23" s="487" t="n">
        <f aca="false">IF(ISERROR(R23*I23*J23),0,R23*I23*J23)</f>
        <v>26</v>
      </c>
      <c r="U23" s="487" t="n">
        <f aca="false">IF(ISERROR(R23*J23),0,R23*J23)</f>
        <v>2</v>
      </c>
      <c r="V23" s="488" t="str">
        <f aca="false">IF(AND(A23="",F23=0),"",IF(F23=0,"Il manque le(s) % de rec. !",""))</f>
        <v/>
      </c>
      <c r="W23" s="489"/>
      <c r="Y23" s="490" t="str">
        <f aca="false">IF(A23="new.cod","NEWCOD",IF(AND((Z23=""),ISTEXT(A23)),A23,IF(Z23="","",INDEX('liste reference'!$A$8:$A$904,Z23))))</f>
        <v>AUDSPX</v>
      </c>
      <c r="Z23" s="280" t="n">
        <f aca="false">IF(ISERROR(MATCH(A23,'liste reference'!$A$8:$A$904,0)),IF(ISERROR(MATCH(A23,'liste reference'!$B$8:$B$904,0)),"",(MATCH(A23,'liste reference'!$B$8:$B$904,0))),(MATCH(A23,'liste reference'!$A$8:$A$904,0)))</f>
        <v>5</v>
      </c>
      <c r="AA23" s="491"/>
      <c r="AB23" s="492"/>
      <c r="AC23" s="492"/>
      <c r="BB23" s="280" t="n">
        <f aca="false">IF(A23="","",1)</f>
        <v>1</v>
      </c>
    </row>
    <row r="24" customFormat="false" ht="12.75" hidden="false" customHeight="false" outlineLevel="0" collapsed="false">
      <c r="A24" s="493" t="s">
        <v>122</v>
      </c>
      <c r="B24" s="494" t="n">
        <v>0.75</v>
      </c>
      <c r="C24" s="495" t="n">
        <v>0.05</v>
      </c>
      <c r="D24" s="477" t="str">
        <f aca="false">IF(ISERROR(VLOOKUP($A24,'liste reference'!$A$7:$D$904,2,0)),IF(ISERROR(VLOOKUP($A24,'liste reference'!$B$7:$D$904,1,0)),"",VLOOKUP($A24,'liste reference'!$B$7:$D$904,1,0)),VLOOKUP($A24,'liste reference'!$A$7:$D$904,2,0))</f>
        <v>Cladophora sp.</v>
      </c>
      <c r="E24" s="496" t="e">
        <f aca="false">IF(D24="",0,VLOOKUP(D24,D$22:D23,1,0))</f>
        <v>#N/A</v>
      </c>
      <c r="F24" s="497" t="n">
        <f aca="false">($B24*$B$7+$C24*$C$7)/100</f>
        <v>0.561</v>
      </c>
      <c r="G24" s="479" t="str">
        <f aca="false">IF(A24="","",IF(ISERROR(VLOOKUP($A24,'liste reference'!$A$7:$P$904,13,0)),IF(ISERROR(VLOOKUP($A24,'liste reference'!$B$7:$P$904,12,0)),"    -",VLOOKUP($A24,'liste reference'!$B$7:$P$904,12,0)),VLOOKUP($A24,'liste reference'!$A$7:$P$904,13,0)))</f>
        <v>ALG</v>
      </c>
      <c r="H24" s="480" t="n">
        <f aca="false">IF(A24="","x",IF(ISERROR(VLOOKUP($A24,'liste reference'!$A$8:$P$904,14,0)),IF(ISERROR(VLOOKUP($A24,'liste reference'!$B$8:$P$904,13,0)),"x",VLOOKUP($A24,'liste reference'!$B$8:$P$904,13,0)),VLOOKUP($A24,'liste reference'!$A$8:$P$904,14,0)))</f>
        <v>2</v>
      </c>
      <c r="I24" s="481" t="n">
        <f aca="false">IF(ISNUMBER(H24),IF(ISERROR(VLOOKUP($A24,'liste reference'!$A$7:$P$904,3,0)),IF(ISERROR(VLOOKUP($A24,'liste reference'!$B$7:$P$904,2,0)),"",VLOOKUP($A24,'liste reference'!$B$7:$P$904,2,0)),VLOOKUP($A24,'liste reference'!$A$7:$P$904,3,0)),"")</f>
        <v>6</v>
      </c>
      <c r="J24" s="481" t="n">
        <f aca="false">IF(ISNUMBER(H24),IF(ISERROR(VLOOKUP($A24,'liste reference'!$A$7:$P$904,4,0)),IF(ISERROR(VLOOKUP($A24,'liste reference'!$B$7:$P$904,3,0)),"",VLOOKUP($A24,'liste reference'!$B$7:$P$904,3,0)),VLOOKUP($A24,'liste reference'!$A$7:$P$904,4,0)),"")</f>
        <v>1</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Cladophora sp.</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1124</v>
      </c>
      <c r="Q24" s="486" t="n">
        <f aca="false">IF(ISTEXT(H24),"",(B24*$B$7/100)+(C24*$C$7/100))</f>
        <v>0.561</v>
      </c>
      <c r="R24" s="487" t="n">
        <f aca="false">IF(OR(ISTEXT(H24),Q24=0),"",IF(Q24&lt;0.1,1,IF(Q24&lt;1,2,IF(Q24&lt;10,3,IF(Q24&lt;50,4,IF(Q24&gt;=50,5,""))))))</f>
        <v>2</v>
      </c>
      <c r="S24" s="487" t="n">
        <f aca="false">IF(ISERROR(R24*I24),0,R24*I24)</f>
        <v>12</v>
      </c>
      <c r="T24" s="487" t="n">
        <f aca="false">IF(ISERROR(R24*I24*J24),0,R24*I24*J24)</f>
        <v>12</v>
      </c>
      <c r="U24" s="499" t="n">
        <f aca="false">IF(ISERROR(R24*J24),0,R24*J24)</f>
        <v>2</v>
      </c>
      <c r="V24" s="488" t="str">
        <f aca="false">IF(AND(A24="",F24=0),"",IF(F24=0,"Il manque le(s) % de rec. !",""))</f>
        <v/>
      </c>
      <c r="W24" s="489"/>
      <c r="Y24" s="490" t="str">
        <f aca="false">IF(A24="new.cod","NEWCOD",IF(AND((Z24=""),ISTEXT(A24)),A24,IF(Z24="","",INDEX('liste reference'!$A$8:$A$904,Z24))))</f>
        <v>CLASPX</v>
      </c>
      <c r="Z24" s="280" t="n">
        <f aca="false">IF(ISERROR(MATCH(A24,'liste reference'!$A$8:$A$904,0)),IF(ISERROR(MATCH(A24,'liste reference'!$B$8:$B$904,0)),"",(MATCH(A24,'liste reference'!$B$8:$B$904,0))),(MATCH(A24,'liste reference'!$A$8:$A$904,0)))</f>
        <v>23</v>
      </c>
      <c r="AA24" s="491"/>
      <c r="AB24" s="492"/>
      <c r="AC24" s="492"/>
      <c r="BB24" s="280" t="n">
        <f aca="false">IF(A24="","",1)</f>
        <v>1</v>
      </c>
    </row>
    <row r="25" customFormat="false" ht="12.75" hidden="false" customHeight="false" outlineLevel="0" collapsed="false">
      <c r="A25" s="493" t="s">
        <v>130</v>
      </c>
      <c r="B25" s="494" t="n">
        <v>0.15</v>
      </c>
      <c r="C25" s="495" t="n">
        <v>0.01</v>
      </c>
      <c r="D25" s="477" t="str">
        <f aca="false">IF(ISERROR(VLOOKUP($A25,'liste reference'!$A$7:$D$904,2,0)),IF(ISERROR(VLOOKUP($A25,'liste reference'!$B$7:$D$904,1,0)),"",VLOOKUP($A25,'liste reference'!$B$7:$D$904,1,0)),VLOOKUP($A25,'liste reference'!$A$7:$D$904,2,0))</f>
        <v>Diatoma sp.</v>
      </c>
      <c r="E25" s="496" t="e">
        <f aca="false">IF(D25="",0,VLOOKUP(D25,D$19:D20,1,0))</f>
        <v>#N/A</v>
      </c>
      <c r="F25" s="497" t="n">
        <f aca="false">($B25*$B$7+$C25*$C$7)/100</f>
        <v>0.1122</v>
      </c>
      <c r="G25" s="479" t="str">
        <f aca="false">IF(A25="","",IF(ISERROR(VLOOKUP($A25,'liste reference'!$A$7:$P$904,13,0)),IF(ISERROR(VLOOKUP($A25,'liste reference'!$B$7:$P$904,12,0)),"    -",VLOOKUP($A25,'liste reference'!$B$7:$P$904,12,0)),VLOOKUP($A25,'liste reference'!$A$7:$P$904,13,0)))</f>
        <v>ALG</v>
      </c>
      <c r="H25" s="480" t="n">
        <f aca="false">IF(A25="","x",IF(ISERROR(VLOOKUP($A25,'liste reference'!$A$8:$P$904,14,0)),IF(ISERROR(VLOOKUP($A25,'liste reference'!$B$8:$P$904,13,0)),"x",VLOOKUP($A25,'liste reference'!$B$8:$P$904,13,0)),VLOOKUP($A25,'liste reference'!$A$8:$P$904,14,0)))</f>
        <v>2</v>
      </c>
      <c r="I25" s="481" t="n">
        <f aca="false">IF(ISNUMBER(H25),IF(ISERROR(VLOOKUP($A25,'liste reference'!$A$7:$P$904,3,0)),IF(ISERROR(VLOOKUP($A25,'liste reference'!$B$7:$P$904,2,0)),"",VLOOKUP($A25,'liste reference'!$B$7:$P$904,2,0)),VLOOKUP($A25,'liste reference'!$A$7:$P$904,3,0)),"")</f>
        <v>12</v>
      </c>
      <c r="J25" s="481" t="n">
        <f aca="false">IF(ISNUMBER(H25),IF(ISERROR(VLOOKUP($A25,'liste reference'!$A$7:$P$904,4,0)),IF(ISERROR(VLOOKUP($A25,'liste reference'!$B$7:$P$904,3,0)),"",VLOOKUP($A25,'liste reference'!$B$7:$P$904,3,0)),VLOOKUP($A25,'liste reference'!$A$7:$P$904,4,0)),"")</f>
        <v>2</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Diatoma sp.</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6627</v>
      </c>
      <c r="Q25" s="486" t="n">
        <f aca="false">IF(ISTEXT(H25),"",(B25*$B$7/100)+(C25*$C$7/100))</f>
        <v>0.1122</v>
      </c>
      <c r="R25" s="487" t="n">
        <f aca="false">IF(OR(ISTEXT(H25),Q25=0),"",IF(Q25&lt;0.1,1,IF(Q25&lt;1,2,IF(Q25&lt;10,3,IF(Q25&lt;50,4,IF(Q25&gt;=50,5,""))))))</f>
        <v>2</v>
      </c>
      <c r="S25" s="487" t="n">
        <f aca="false">IF(ISERROR(R25*I25),0,R25*I25)</f>
        <v>24</v>
      </c>
      <c r="T25" s="487" t="n">
        <f aca="false">IF(ISERROR(R25*I25*J25),0,R25*I25*J25)</f>
        <v>48</v>
      </c>
      <c r="U25" s="499" t="n">
        <f aca="false">IF(ISERROR(R25*J25),0,R25*J25)</f>
        <v>4</v>
      </c>
      <c r="V25" s="488" t="str">
        <f aca="false">IF(AND(A25="",F25=0),"",IF(F25=0,"Il manque le(s) % de rec. !",""))</f>
        <v/>
      </c>
      <c r="W25" s="489"/>
      <c r="Y25" s="490" t="str">
        <f aca="false">IF(A25="new.cod","NEWCOD",IF(AND((Z25=""),ISTEXT(A25)),A25,IF(Z25="","",INDEX('liste reference'!$A$8:$A$904,Z25))))</f>
        <v>DIASPX</v>
      </c>
      <c r="Z25" s="280" t="n">
        <f aca="false">IF(ISERROR(MATCH(A25,'liste reference'!$A$8:$A$904,0)),IF(ISERROR(MATCH(A25,'liste reference'!$B$8:$B$904,0)),"",(MATCH(A25,'liste reference'!$B$8:$B$904,0))),(MATCH(A25,'liste reference'!$A$8:$A$904,0)))</f>
        <v>26</v>
      </c>
      <c r="AA25" s="491"/>
      <c r="AB25" s="492"/>
      <c r="AC25" s="492"/>
      <c r="BB25" s="280" t="n">
        <f aca="false">IF(A25="","",1)</f>
        <v>1</v>
      </c>
    </row>
    <row r="26" customFormat="false" ht="12.75" hidden="false" customHeight="false" outlineLevel="0" collapsed="false">
      <c r="A26" s="493" t="s">
        <v>142</v>
      </c>
      <c r="B26" s="494" t="n">
        <v>0.005</v>
      </c>
      <c r="C26" s="495"/>
      <c r="D26" s="477" t="str">
        <f aca="false">IF(ISERROR(VLOOKUP($A26,'liste reference'!$A$7:$D$904,2,0)),IF(ISERROR(VLOOKUP($A26,'liste reference'!$B$7:$D$904,1,0)),"",VLOOKUP($A26,'liste reference'!$B$7:$D$904,1,0)),VLOOKUP($A26,'liste reference'!$A$7:$D$904,2,0))</f>
        <v>Hildenbrandia sp.</v>
      </c>
      <c r="E26" s="496" t="e">
        <f aca="false">IF(D26="",0,VLOOKUP(D26,D$22:D25,1,0))</f>
        <v>#N/A</v>
      </c>
      <c r="F26" s="497" t="n">
        <f aca="false">($B26*$B$7+$C26*$C$7)/100</f>
        <v>0.00365</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15</v>
      </c>
      <c r="J26" s="481" t="n">
        <f aca="false">IF(ISNUMBER(H26),IF(ISERROR(VLOOKUP($A26,'liste reference'!$A$7:$P$904,4,0)),IF(ISERROR(VLOOKUP($A26,'liste reference'!$B$7:$P$904,3,0)),"",VLOOKUP($A26,'liste reference'!$B$7:$P$904,3,0)),VLOOKUP($A26,'liste reference'!$A$7:$P$904,4,0)),"")</f>
        <v>2</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Hildenbrandia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1157</v>
      </c>
      <c r="Q26" s="486" t="n">
        <f aca="false">IF(ISTEXT(H26),"",(B26*$B$7/100)+(C26*$C$7/100))</f>
        <v>0.00365</v>
      </c>
      <c r="R26" s="487" t="n">
        <f aca="false">IF(OR(ISTEXT(H26),Q26=0),"",IF(Q26&lt;0.1,1,IF(Q26&lt;1,2,IF(Q26&lt;10,3,IF(Q26&lt;50,4,IF(Q26&gt;=50,5,""))))))</f>
        <v>1</v>
      </c>
      <c r="S26" s="487" t="n">
        <f aca="false">IF(ISERROR(R26*I26),0,R26*I26)</f>
        <v>15</v>
      </c>
      <c r="T26" s="487" t="n">
        <f aca="false">IF(ISERROR(R26*I26*J26),0,R26*I26*J26)</f>
        <v>30</v>
      </c>
      <c r="U26" s="499" t="n">
        <f aca="false">IF(ISERROR(R26*J26),0,R26*J26)</f>
        <v>2</v>
      </c>
      <c r="V26" s="488" t="str">
        <f aca="false">IF(AND(A26="",F26=0),"",IF(F26=0,"Il manque le(s) % de rec. !",""))</f>
        <v/>
      </c>
      <c r="W26" s="489"/>
      <c r="Y26" s="490" t="str">
        <f aca="false">IF(A26="new.cod","NEWCOD",IF(AND((Z26=""),ISTEXT(A26)),A26,IF(Z26="","",INDEX('liste reference'!$A$8:$A$904,Z26))))</f>
        <v>HILSPX</v>
      </c>
      <c r="Z26" s="280" t="n">
        <f aca="false">IF(ISERROR(MATCH(A26,'liste reference'!$A$8:$A$904,0)),IF(ISERROR(MATCH(A26,'liste reference'!$B$8:$B$904,0)),"",(MATCH(A26,'liste reference'!$B$8:$B$904,0))),(MATCH(A26,'liste reference'!$A$8:$A$904,0)))</f>
        <v>30</v>
      </c>
      <c r="AA26" s="491"/>
      <c r="AB26" s="492"/>
      <c r="AC26" s="492"/>
      <c r="BB26" s="280" t="n">
        <f aca="false">IF(A26="","",1)</f>
        <v>1</v>
      </c>
    </row>
    <row r="27" customFormat="false" ht="12.75" hidden="false" customHeight="false" outlineLevel="0" collapsed="false">
      <c r="A27" s="493" t="s">
        <v>154</v>
      </c>
      <c r="B27" s="494" t="n">
        <v>0.04</v>
      </c>
      <c r="C27" s="495" t="n">
        <v>0.01</v>
      </c>
      <c r="D27" s="477" t="str">
        <f aca="false">IF(ISERROR(VLOOKUP($A27,'liste reference'!$A$7:$D$904,2,0)),IF(ISERROR(VLOOKUP($A27,'liste reference'!$B$7:$D$904,1,0)),"",VLOOKUP($A27,'liste reference'!$B$7:$D$904,1,0)),VLOOKUP($A27,'liste reference'!$A$7:$D$904,2,0))</f>
        <v>Lemanea sp.</v>
      </c>
      <c r="E27" s="496" t="e">
        <f aca="false">IF(D27="",0,VLOOKUP(D27,D$22:D26,1,0))</f>
        <v>#N/A</v>
      </c>
      <c r="F27" s="497" t="n">
        <f aca="false">($B27*$B$7+$C27*$C$7)/100</f>
        <v>0.0319</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15</v>
      </c>
      <c r="J27" s="481" t="n">
        <f aca="false">IF(ISNUMBER(H27),IF(ISERROR(VLOOKUP($A27,'liste reference'!$A$7:$P$904,4,0)),IF(ISERROR(VLOOKUP($A27,'liste reference'!$B$7:$P$904,3,0)),"",VLOOKUP($A27,'liste reference'!$B$7:$P$904,3,0)),VLOOKUP($A27,'liste reference'!$A$7:$P$904,4,0)),"")</f>
        <v>2</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Lemanea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1159</v>
      </c>
      <c r="Q27" s="486" t="n">
        <f aca="false">IF(ISTEXT(H27),"",(B27*$B$7/100)+(C27*$C$7/100))</f>
        <v>0.0319</v>
      </c>
      <c r="R27" s="487" t="n">
        <f aca="false">IF(OR(ISTEXT(H27),Q27=0),"",IF(Q27&lt;0.1,1,IF(Q27&lt;1,2,IF(Q27&lt;10,3,IF(Q27&lt;50,4,IF(Q27&gt;=50,5,""))))))</f>
        <v>1</v>
      </c>
      <c r="S27" s="487" t="n">
        <f aca="false">IF(ISERROR(R27*I27),0,R27*I27)</f>
        <v>15</v>
      </c>
      <c r="T27" s="487" t="n">
        <f aca="false">IF(ISERROR(R27*I27*J27),0,R27*I27*J27)</f>
        <v>30</v>
      </c>
      <c r="U27" s="499" t="n">
        <f aca="false">IF(ISERROR(R27*J27),0,R27*J27)</f>
        <v>2</v>
      </c>
      <c r="V27" s="488" t="str">
        <f aca="false">IF(AND(A27="",F27=0),"",IF(F27=0,"Il manque le(s) % de rec. !",""))</f>
        <v/>
      </c>
      <c r="W27" s="489"/>
      <c r="Y27" s="490" t="str">
        <f aca="false">IF(A27="new.cod","NEWCOD",IF(AND((Z27=""),ISTEXT(A27)),A27,IF(Z27="","",INDEX('liste reference'!$A$8:$A$904,Z27))))</f>
        <v>LEASPX</v>
      </c>
      <c r="Z27" s="280" t="n">
        <f aca="false">IF(ISERROR(MATCH(A27,'liste reference'!$A$8:$A$904,0)),IF(ISERROR(MATCH(A27,'liste reference'!$B$8:$B$904,0)),"",(MATCH(A27,'liste reference'!$B$8:$B$904,0))),(MATCH(A27,'liste reference'!$A$8:$A$904,0)))</f>
        <v>34</v>
      </c>
      <c r="AA27" s="491"/>
      <c r="AB27" s="492"/>
      <c r="AC27" s="492"/>
      <c r="BB27" s="280" t="n">
        <f aca="false">IF(A27="","",1)</f>
        <v>1</v>
      </c>
    </row>
    <row r="28" customFormat="false" ht="12.75" hidden="false" customHeight="false" outlineLevel="0" collapsed="false">
      <c r="A28" s="493" t="s">
        <v>160</v>
      </c>
      <c r="B28" s="494"/>
      <c r="C28" s="495" t="n">
        <v>0.01</v>
      </c>
      <c r="D28" s="477" t="str">
        <f aca="false">IF(ISERROR(VLOOKUP($A28,'liste reference'!$A$7:$D$904,2,0)),IF(ISERROR(VLOOKUP($A28,'liste reference'!$B$7:$D$904,1,0)),"",VLOOKUP($A28,'liste reference'!$B$7:$D$904,1,0)),VLOOKUP($A28,'liste reference'!$A$7:$D$904,2,0))</f>
        <v>Melosira sp.</v>
      </c>
      <c r="E28" s="496" t="e">
        <f aca="false">IF(D28="",0,VLOOKUP(D28,D$22:D27,1,0))</f>
        <v>#N/A</v>
      </c>
      <c r="F28" s="497" t="n">
        <f aca="false">($B28*$B$7+$C28*$C$7)/100</f>
        <v>0.0027</v>
      </c>
      <c r="G28" s="479" t="str">
        <f aca="false">IF(A28="","",IF(ISERROR(VLOOKUP($A28,'liste reference'!$A$7:$P$904,13,0)),IF(ISERROR(VLOOKUP($A28,'liste reference'!$B$7:$P$904,12,0)),"    -",VLOOKUP($A28,'liste reference'!$B$7:$P$904,12,0)),VLOOKUP($A28,'liste reference'!$A$7:$P$904,13,0)))</f>
        <v>ALG</v>
      </c>
      <c r="H28" s="480" t="n">
        <f aca="false">IF(A28="","x",IF(ISERROR(VLOOKUP($A28,'liste reference'!$A$8:$P$904,14,0)),IF(ISERROR(VLOOKUP($A28,'liste reference'!$B$8:$P$904,13,0)),"x",VLOOKUP($A28,'liste reference'!$B$8:$P$904,13,0)),VLOOKUP($A28,'liste reference'!$A$8:$P$904,14,0)))</f>
        <v>2</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Melosira sp.</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8714</v>
      </c>
      <c r="Q28" s="486" t="n">
        <f aca="false">IF(ISTEXT(H28),"",(B28*$B$7/100)+(C28*$C$7/100))</f>
        <v>0.0027</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MELSPX</v>
      </c>
      <c r="Z28" s="280" t="n">
        <f aca="false">IF(ISERROR(MATCH(A28,'liste reference'!$A$8:$A$904,0)),IF(ISERROR(MATCH(A28,'liste reference'!$B$8:$B$904,0)),"",(MATCH(A28,'liste reference'!$B$8:$B$904,0))),(MATCH(A28,'liste reference'!$A$8:$A$904,0)))</f>
        <v>36</v>
      </c>
      <c r="AA28" s="491"/>
      <c r="AB28" s="492"/>
      <c r="AC28" s="492"/>
      <c r="BB28" s="280" t="n">
        <f aca="false">IF(A28="","",1)</f>
        <v>1</v>
      </c>
    </row>
    <row r="29" customFormat="false" ht="12.75" hidden="false" customHeight="false" outlineLevel="0" collapsed="false">
      <c r="A29" s="493" t="s">
        <v>220</v>
      </c>
      <c r="B29" s="494" t="n">
        <v>0.01</v>
      </c>
      <c r="C29" s="495" t="n">
        <v>0.005</v>
      </c>
      <c r="D29" s="477" t="str">
        <f aca="false">IF(ISERROR(VLOOKUP($A29,'liste reference'!$A$7:$D$904,2,0)),IF(ISERROR(VLOOKUP($A29,'liste reference'!$B$7:$D$904,1,0)),"",VLOOKUP($A29,'liste reference'!$B$7:$D$904,1,0)),VLOOKUP($A29,'liste reference'!$A$7:$D$904,2,0))</f>
        <v>Nostoc sp.</v>
      </c>
      <c r="E29" s="496" t="e">
        <f aca="false">IF(D29="",0,VLOOKUP(D29,D$22:D28,1,0))</f>
        <v>#N/A</v>
      </c>
      <c r="F29" s="497" t="n">
        <f aca="false">($B29*$B$7+$C29*$C$7)/100</f>
        <v>0.00865</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9</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Nostoc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1105</v>
      </c>
      <c r="Q29" s="486" t="n">
        <f aca="false">IF(ISTEXT(H29),"",(B29*$B$7/100)+(C29*$C$7/100))</f>
        <v>0.00865</v>
      </c>
      <c r="R29" s="487" t="n">
        <f aca="false">IF(OR(ISTEXT(H29),Q29=0),"",IF(Q29&lt;0.1,1,IF(Q29&lt;1,2,IF(Q29&lt;10,3,IF(Q29&lt;50,4,IF(Q29&gt;=50,5,""))))))</f>
        <v>1</v>
      </c>
      <c r="S29" s="487" t="n">
        <f aca="false">IF(ISERROR(R29*I29),0,R29*I29)</f>
        <v>9</v>
      </c>
      <c r="T29" s="487" t="n">
        <f aca="false">IF(ISERROR(R29*I29*J29),0,R29*I29*J29)</f>
        <v>9</v>
      </c>
      <c r="U29" s="499" t="n">
        <f aca="false">IF(ISERROR(R29*J29),0,R29*J29)</f>
        <v>1</v>
      </c>
      <c r="V29" s="488" t="str">
        <f aca="false">IF(AND(A29="",F29=0),"",IF(F29=0,"Il manque le(s) % de rec. !",""))</f>
        <v/>
      </c>
      <c r="W29" s="500"/>
      <c r="Y29" s="490" t="str">
        <f aca="false">IF(A29="new.cod","NEWCOD",IF(AND((Z29=""),ISTEXT(A29)),A29,IF(Z29="","",INDEX('liste reference'!$A$8:$A$904,Z29))))</f>
        <v>NOSSPX</v>
      </c>
      <c r="Z29" s="280" t="n">
        <f aca="false">IF(ISERROR(MATCH(A29,'liste reference'!$A$8:$A$904,0)),IF(ISERROR(MATCH(A29,'liste reference'!$B$8:$B$904,0)),"",(MATCH(A29,'liste reference'!$B$8:$B$904,0))),(MATCH(A29,'liste reference'!$A$8:$A$904,0)))</f>
        <v>54</v>
      </c>
      <c r="AA29" s="491"/>
      <c r="AB29" s="492"/>
      <c r="AC29" s="492"/>
      <c r="BB29" s="280" t="n">
        <f aca="false">IF(A29="","",1)</f>
        <v>1</v>
      </c>
    </row>
    <row r="30" customFormat="false" ht="12.75" hidden="false" customHeight="false" outlineLevel="0" collapsed="false">
      <c r="A30" s="493" t="s">
        <v>223</v>
      </c>
      <c r="B30" s="494" t="n">
        <v>0.15</v>
      </c>
      <c r="C30" s="495"/>
      <c r="D30" s="477" t="str">
        <f aca="false">IF(ISERROR(VLOOKUP($A30,'liste reference'!$A$7:$D$904,2,0)),IF(ISERROR(VLOOKUP($A30,'liste reference'!$B$7:$D$904,1,0)),"",VLOOKUP($A30,'liste reference'!$B$7:$D$904,1,0)),VLOOKUP($A30,'liste reference'!$A$7:$D$904,2,0))</f>
        <v>Oedogonium sp.</v>
      </c>
      <c r="E30" s="496" t="e">
        <f aca="false">IF(D30="",0,VLOOKUP(D30,D$22:D29,1,0))</f>
        <v>#N/A</v>
      </c>
      <c r="F30" s="497" t="n">
        <f aca="false">($B30*$B$7+$C30*$C$7)/100</f>
        <v>0.1095</v>
      </c>
      <c r="G30" s="479" t="str">
        <f aca="false">IF(A30="","",IF(ISERROR(VLOOKUP($A30,'liste reference'!$A$7:$P$904,13,0)),IF(ISERROR(VLOOKUP($A30,'liste reference'!$B$7:$P$904,12,0)),"    -",VLOOKUP($A30,'liste reference'!$B$7:$P$904,12,0)),VLOOKUP($A30,'liste reference'!$A$7:$P$904,13,0)))</f>
        <v>ALG</v>
      </c>
      <c r="H30" s="480" t="n">
        <f aca="false">IF(A30="","x",IF(ISERROR(VLOOKUP($A30,'liste reference'!$A$8:$P$904,14,0)),IF(ISERROR(VLOOKUP($A30,'liste reference'!$B$8:$P$904,13,0)),"x",VLOOKUP($A30,'liste reference'!$B$8:$P$904,13,0)),VLOOKUP($A30,'liste reference'!$A$8:$P$904,14,0)))</f>
        <v>2</v>
      </c>
      <c r="I30" s="481" t="n">
        <f aca="false">IF(ISNUMBER(H30),IF(ISERROR(VLOOKUP($A30,'liste reference'!$A$7:$P$904,3,0)),IF(ISERROR(VLOOKUP($A30,'liste reference'!$B$7:$P$904,2,0)),"",VLOOKUP($A30,'liste reference'!$B$7:$P$904,2,0)),VLOOKUP($A30,'liste reference'!$A$7:$P$904,3,0)),"")</f>
        <v>6</v>
      </c>
      <c r="J30" s="481" t="n">
        <f aca="false">IF(ISNUMBER(H30),IF(ISERROR(VLOOKUP($A30,'liste reference'!$A$7:$P$904,4,0)),IF(ISERROR(VLOOKUP($A30,'liste reference'!$B$7:$P$904,3,0)),"",VLOOKUP($A30,'liste reference'!$B$7:$P$904,3,0)),VLOOKUP($A30,'liste reference'!$A$7:$P$904,4,0)),"")</f>
        <v>2</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Oedogonium sp.</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1134</v>
      </c>
      <c r="Q30" s="486" t="n">
        <f aca="false">IF(ISTEXT(H30),"",(B30*$B$7/100)+(C30*$C$7/100))</f>
        <v>0.1095</v>
      </c>
      <c r="R30" s="487" t="n">
        <f aca="false">IF(OR(ISTEXT(H30),Q30=0),"",IF(Q30&lt;0.1,1,IF(Q30&lt;1,2,IF(Q30&lt;10,3,IF(Q30&lt;50,4,IF(Q30&gt;=50,5,""))))))</f>
        <v>2</v>
      </c>
      <c r="S30" s="487" t="n">
        <f aca="false">IF(ISERROR(R30*I30),0,R30*I30)</f>
        <v>12</v>
      </c>
      <c r="T30" s="487" t="n">
        <f aca="false">IF(ISERROR(R30*I30*J30),0,R30*I30*J30)</f>
        <v>24</v>
      </c>
      <c r="U30" s="499" t="n">
        <f aca="false">IF(ISERROR(R30*J30),0,R30*J30)</f>
        <v>4</v>
      </c>
      <c r="V30" s="488" t="str">
        <f aca="false">IF(AND(A30="",F30=0),"",IF(F30=0,"Il manque le(s) % de rec. !",""))</f>
        <v/>
      </c>
      <c r="W30" s="489"/>
      <c r="Y30" s="490" t="str">
        <f aca="false">IF(A30="new.cod","NEWCOD",IF(AND((Z30=""),ISTEXT(A30)),A30,IF(Z30="","",INDEX('liste reference'!$A$8:$A$904,Z30))))</f>
        <v>OEDSPX</v>
      </c>
      <c r="Z30" s="280" t="n">
        <f aca="false">IF(ISERROR(MATCH(A30,'liste reference'!$A$8:$A$904,0)),IF(ISERROR(MATCH(A30,'liste reference'!$B$8:$B$904,0)),"",(MATCH(A30,'liste reference'!$B$8:$B$904,0))),(MATCH(A30,'liste reference'!$A$8:$A$904,0)))</f>
        <v>55</v>
      </c>
      <c r="AA30" s="491"/>
      <c r="AB30" s="492"/>
      <c r="AC30" s="492"/>
      <c r="BB30" s="280" t="n">
        <f aca="false">IF(A30="","",1)</f>
        <v>1</v>
      </c>
    </row>
    <row r="31" customFormat="false" ht="12.75" hidden="false" customHeight="false" outlineLevel="0" collapsed="false">
      <c r="A31" s="493" t="s">
        <v>228</v>
      </c>
      <c r="B31" s="494" t="n">
        <v>0.005</v>
      </c>
      <c r="C31" s="495"/>
      <c r="D31" s="477" t="str">
        <f aca="false">IF(ISERROR(VLOOKUP($A31,'liste reference'!$A$7:$D$904,2,0)),IF(ISERROR(VLOOKUP($A31,'liste reference'!$B$7:$D$904,1,0)),"",VLOOKUP($A31,'liste reference'!$B$7:$D$904,1,0)),VLOOKUP($A31,'liste reference'!$A$7:$D$904,2,0))</f>
        <v>Phormidium sp.</v>
      </c>
      <c r="E31" s="496" t="e">
        <f aca="false">IF(D31="",0,VLOOKUP(D31,D$22:D30,1,0))</f>
        <v>#N/A</v>
      </c>
      <c r="F31" s="497" t="n">
        <f aca="false">($B31*$B$7+$C31*$C$7)/100</f>
        <v>0.00365</v>
      </c>
      <c r="G31" s="479" t="str">
        <f aca="false">IF(A31="","",IF(ISERROR(VLOOKUP($A31,'liste reference'!$A$7:$P$904,13,0)),IF(ISERROR(VLOOKUP($A31,'liste reference'!$B$7:$P$904,12,0)),"    -",VLOOKUP($A31,'liste reference'!$B$7:$P$904,12,0)),VLOOKUP($A31,'liste reference'!$A$7:$P$904,13,0)))</f>
        <v>ALG</v>
      </c>
      <c r="H31" s="480" t="n">
        <f aca="false">IF(A31="","x",IF(ISERROR(VLOOKUP($A31,'liste reference'!$A$8:$P$904,14,0)),IF(ISERROR(VLOOKUP($A31,'liste reference'!$B$8:$P$904,13,0)),"x",VLOOKUP($A31,'liste reference'!$B$8:$P$904,13,0)),VLOOKUP($A31,'liste reference'!$A$8:$P$904,14,0)))</f>
        <v>2</v>
      </c>
      <c r="I31" s="481" t="n">
        <f aca="false">IF(ISNUMBER(H31),IF(ISERROR(VLOOKUP($A31,'liste reference'!$A$7:$P$904,3,0)),IF(ISERROR(VLOOKUP($A31,'liste reference'!$B$7:$P$904,2,0)),"",VLOOKUP($A31,'liste reference'!$B$7:$P$904,2,0)),VLOOKUP($A31,'liste reference'!$A$7:$P$904,3,0)),"")</f>
        <v>13</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Phormidium sp.</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6414</v>
      </c>
      <c r="Q31" s="486" t="n">
        <f aca="false">IF(ISTEXT(H31),"",(B31*$B$7/100)+(C31*$C$7/100))</f>
        <v>0.00365</v>
      </c>
      <c r="R31" s="487" t="n">
        <f aca="false">IF(OR(ISTEXT(H31),Q31=0),"",IF(Q31&lt;0.1,1,IF(Q31&lt;1,2,IF(Q31&lt;10,3,IF(Q31&lt;50,4,IF(Q31&gt;=50,5,""))))))</f>
        <v>1</v>
      </c>
      <c r="S31" s="487" t="n">
        <f aca="false">IF(ISERROR(R31*I31),0,R31*I31)</f>
        <v>13</v>
      </c>
      <c r="T31" s="487" t="n">
        <f aca="false">IF(ISERROR(R31*I31*J31),0,R31*I31*J31)</f>
        <v>26</v>
      </c>
      <c r="U31" s="499" t="n">
        <f aca="false">IF(ISERROR(R31*J31),0,R31*J31)</f>
        <v>2</v>
      </c>
      <c r="V31" s="488" t="str">
        <f aca="false">IF(AND(A31="",F31=0),"",IF(F31=0,"Il manque le(s) % de rec. !",""))</f>
        <v/>
      </c>
      <c r="W31" s="489"/>
      <c r="Y31" s="490" t="str">
        <f aca="false">IF(A31="new.cod","NEWCOD",IF(AND((Z31=""),ISTEXT(A31)),A31,IF(Z31="","",INDEX('liste reference'!$A$8:$A$904,Z31))))</f>
        <v>PHOSPX</v>
      </c>
      <c r="Z31" s="280" t="n">
        <f aca="false">IF(ISERROR(MATCH(A31,'liste reference'!$A$8:$A$904,0)),IF(ISERROR(MATCH(A31,'liste reference'!$B$8:$B$904,0)),"",(MATCH(A31,'liste reference'!$B$8:$B$904,0))),(MATCH(A31,'liste reference'!$A$8:$A$904,0)))</f>
        <v>57</v>
      </c>
      <c r="AA31" s="491"/>
      <c r="AB31" s="492"/>
      <c r="AC31" s="492"/>
      <c r="BB31" s="280" t="n">
        <f aca="false">IF(A31="","",1)</f>
        <v>1</v>
      </c>
    </row>
    <row r="32" customFormat="false" ht="12.75" hidden="false" customHeight="false" outlineLevel="0" collapsed="false">
      <c r="A32" s="493" t="s">
        <v>248</v>
      </c>
      <c r="B32" s="494" t="n">
        <v>0.005</v>
      </c>
      <c r="C32" s="495"/>
      <c r="D32" s="477" t="str">
        <f aca="false">IF(ISERROR(VLOOKUP($A32,'liste reference'!$A$7:$D$904,2,0)),IF(ISERROR(VLOOKUP($A32,'liste reference'!$B$7:$D$904,1,0)),"",VLOOKUP($A32,'liste reference'!$B$7:$D$904,1,0)),VLOOKUP($A32,'liste reference'!$A$7:$D$904,2,0))</f>
        <v>Schizothrix sp.</v>
      </c>
      <c r="E32" s="496" t="e">
        <f aca="false">IF(D32="",0,VLOOKUP(D32,D$22:D31,1,0))</f>
        <v>#N/A</v>
      </c>
      <c r="F32" s="497" t="n">
        <f aca="false">($B32*$B$7+$C32*$C$7)/100</f>
        <v>0.00365</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0</v>
      </c>
      <c r="J32" s="481" t="n">
        <f aca="false">IF(ISNUMBER(H32),IF(ISERROR(VLOOKUP($A32,'liste reference'!$A$7:$P$904,4,0)),IF(ISERROR(VLOOKUP($A32,'liste reference'!$B$7:$P$904,3,0)),"",VLOOKUP($A32,'liste reference'!$B$7:$P$904,3,0)),VLOOKUP($A32,'liste reference'!$A$7:$P$904,4,0)),"")</f>
        <v>0</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Schizothrix sp.</v>
      </c>
      <c r="L32" s="498"/>
      <c r="M32" s="498"/>
      <c r="N32" s="498"/>
      <c r="O32" s="484" t="s">
        <v>2686</v>
      </c>
      <c r="P32" s="485" t="n">
        <f aca="false">IF($A32="NEWCOD",IF($AC32="","No",$AC32),IF(ISTEXT($E32),"DEJA SAISI !",IF($A32="","",IF(ISERROR(VLOOKUP($A32,'liste reference'!A:S,19,FALSE())),IF(ISERROR(VLOOKUP($A32,'liste reference'!B:S,19,FALSE())),"",VLOOKUP($A32,'liste reference'!B:S,19,FALSE())),VLOOKUP($A32,'liste reference'!A:S,19,FALSE())))))</f>
        <v>6436</v>
      </c>
      <c r="Q32" s="486" t="n">
        <f aca="false">IF(ISTEXT(H32),"",(B32*$B$7/100)+(C32*$C$7/100))</f>
        <v>0.00365</v>
      </c>
      <c r="R32" s="487" t="n">
        <f aca="false">IF(OR(ISTEXT(H32),Q32=0),"",IF(Q32&lt;0.1,1,IF(Q32&lt;1,2,IF(Q32&lt;10,3,IF(Q32&lt;50,4,IF(Q32&gt;=50,5,""))))))</f>
        <v>1</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SCZSPX</v>
      </c>
      <c r="Z32" s="280" t="n">
        <f aca="false">IF(ISERROR(MATCH(A32,'liste reference'!$A$8:$A$904,0)),IF(ISERROR(MATCH(A32,'liste reference'!$B$8:$B$904,0)),"",(MATCH(A32,'liste reference'!$B$8:$B$904,0))),(MATCH(A32,'liste reference'!$A$8:$A$904,0)))</f>
        <v>65</v>
      </c>
      <c r="AA32" s="491" t="s">
        <v>2686</v>
      </c>
      <c r="AB32" s="492"/>
      <c r="AC32" s="492"/>
      <c r="BB32" s="280" t="n">
        <f aca="false">IF(A32="","",1)</f>
        <v>1</v>
      </c>
    </row>
    <row r="33" customFormat="false" ht="12.75" hidden="false" customHeight="false" outlineLevel="0" collapsed="false">
      <c r="A33" s="493" t="s">
        <v>258</v>
      </c>
      <c r="B33" s="494" t="n">
        <v>0.05</v>
      </c>
      <c r="C33" s="495"/>
      <c r="D33" s="477" t="str">
        <f aca="false">IF(ISERROR(VLOOKUP($A33,'liste reference'!$A$7:$D$904,2,0)),IF(ISERROR(VLOOKUP($A33,'liste reference'!$B$7:$D$904,1,0)),"",VLOOKUP($A33,'liste reference'!$B$7:$D$904,1,0)),VLOOKUP($A33,'liste reference'!$A$7:$D$904,2,0))</f>
        <v>Spirogyra sp.</v>
      </c>
      <c r="E33" s="496" t="e">
        <f aca="false">IF(D33="",0,VLOOKUP(D33,D$22:D32,1,0))</f>
        <v>#N/A</v>
      </c>
      <c r="F33" s="497" t="n">
        <f aca="false">($B33*$B$7+$C33*$C$7)/100</f>
        <v>0.0365</v>
      </c>
      <c r="G33" s="479" t="str">
        <f aca="false">IF(A33="","",IF(ISERROR(VLOOKUP($A33,'liste reference'!$A$7:$P$904,13,0)),IF(ISERROR(VLOOKUP($A33,'liste reference'!$B$7:$P$904,12,0)),"    -",VLOOKUP($A33,'liste reference'!$B$7:$P$904,12,0)),VLOOKUP($A33,'liste reference'!$A$7:$P$904,13,0)))</f>
        <v>ALG</v>
      </c>
      <c r="H33" s="480" t="n">
        <f aca="false">IF(A33="","x",IF(ISERROR(VLOOKUP($A33,'liste reference'!$A$8:$P$904,14,0)),IF(ISERROR(VLOOKUP($A33,'liste reference'!$B$8:$P$904,13,0)),"x",VLOOKUP($A33,'liste reference'!$B$8:$P$904,13,0)),VLOOKUP($A33,'liste reference'!$A$8:$P$904,14,0)))</f>
        <v>2</v>
      </c>
      <c r="I33" s="481" t="n">
        <f aca="false">IF(ISNUMBER(H33),IF(ISERROR(VLOOKUP($A33,'liste reference'!$A$7:$P$904,3,0)),IF(ISERROR(VLOOKUP($A33,'liste reference'!$B$7:$P$904,2,0)),"",VLOOKUP($A33,'liste reference'!$B$7:$P$904,2,0)),VLOOKUP($A33,'liste reference'!$A$7:$P$904,3,0)),"")</f>
        <v>10</v>
      </c>
      <c r="J33" s="481" t="n">
        <f aca="false">IF(ISNUMBER(H33),IF(ISERROR(VLOOKUP($A33,'liste reference'!$A$7:$P$904,4,0)),IF(ISERROR(VLOOKUP($A33,'liste reference'!$B$7:$P$904,3,0)),"",VLOOKUP($A33,'liste reference'!$B$7:$P$904,3,0)),VLOOKUP($A33,'liste reference'!$A$7:$P$904,4,0)),"")</f>
        <v>1</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Spirogyra sp.</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1147</v>
      </c>
      <c r="Q33" s="486" t="n">
        <f aca="false">IF(ISTEXT(H33),"",(B33*$B$7/100)+(C33*$C$7/100))</f>
        <v>0.0365</v>
      </c>
      <c r="R33" s="487" t="n">
        <f aca="false">IF(OR(ISTEXT(H33),Q33=0),"",IF(Q33&lt;0.1,1,IF(Q33&lt;1,2,IF(Q33&lt;10,3,IF(Q33&lt;50,4,IF(Q33&gt;=50,5,""))))))</f>
        <v>1</v>
      </c>
      <c r="S33" s="487" t="n">
        <f aca="false">IF(ISERROR(R33*I33),0,R33*I33)</f>
        <v>10</v>
      </c>
      <c r="T33" s="487" t="n">
        <f aca="false">IF(ISERROR(R33*I33*J33),0,R33*I33*J33)</f>
        <v>10</v>
      </c>
      <c r="U33" s="499" t="n">
        <f aca="false">IF(ISERROR(R33*J33),0,R33*J33)</f>
        <v>1</v>
      </c>
      <c r="V33" s="488" t="str">
        <f aca="false">IF(AND(A33="",F33=0),"",IF(F33=0,"Il manque le(s) % de rec. !",""))</f>
        <v/>
      </c>
      <c r="W33" s="489"/>
      <c r="Y33" s="490" t="str">
        <f aca="false">IF(A33="new.cod","NEWCOD",IF(AND((Z33=""),ISTEXT(A33)),A33,IF(Z33="","",INDEX('liste reference'!$A$8:$A$904,Z33))))</f>
        <v>SPISPX</v>
      </c>
      <c r="Z33" s="280" t="n">
        <f aca="false">IF(ISERROR(MATCH(A33,'liste reference'!$A$8:$A$904,0)),IF(ISERROR(MATCH(A33,'liste reference'!$B$8:$B$904,0)),"",(MATCH(A33,'liste reference'!$B$8:$B$904,0))),(MATCH(A33,'liste reference'!$A$8:$A$904,0)))</f>
        <v>69</v>
      </c>
      <c r="AA33" s="491"/>
      <c r="AB33" s="492"/>
      <c r="AC33" s="492"/>
      <c r="BB33" s="280" t="n">
        <f aca="false">IF(A33="","",1)</f>
        <v>1</v>
      </c>
    </row>
    <row r="34" customFormat="false" ht="12.75" hidden="false" customHeight="false" outlineLevel="0" collapsed="false">
      <c r="A34" s="493" t="s">
        <v>263</v>
      </c>
      <c r="B34" s="494" t="n">
        <v>0.02</v>
      </c>
      <c r="C34" s="495" t="n">
        <v>0.005</v>
      </c>
      <c r="D34" s="477" t="str">
        <f aca="false">IF(ISERROR(VLOOKUP($A34,'liste reference'!$A$7:$D$904,2,0)),IF(ISERROR(VLOOKUP($A34,'liste reference'!$B$7:$D$904,1,0)),"",VLOOKUP($A34,'liste reference'!$B$7:$D$904,1,0)),VLOOKUP($A34,'liste reference'!$A$7:$D$904,2,0))</f>
        <v>Stigeoclonium sp.</v>
      </c>
      <c r="E34" s="496" t="e">
        <f aca="false">IF(D34="",0,VLOOKUP(D34,D$21:D28,1,0))</f>
        <v>#N/A</v>
      </c>
      <c r="F34" s="501" t="n">
        <f aca="false">($B34*$B$7+$C34*$C$7)/100</f>
        <v>0.01595</v>
      </c>
      <c r="G34" s="479" t="str">
        <f aca="false">IF(A34="","",IF(ISERROR(VLOOKUP($A34,'liste reference'!$A$7:$P$904,13,0)),IF(ISERROR(VLOOKUP($A34,'liste reference'!$B$7:$P$904,12,0)),"    -",VLOOKUP($A34,'liste reference'!$B$7:$P$904,12,0)),VLOOKUP($A34,'liste reference'!$A$7:$P$904,13,0)))</f>
        <v>ALG</v>
      </c>
      <c r="H34" s="480" t="n">
        <f aca="false">IF(A34="","x",IF(ISERROR(VLOOKUP($A34,'liste reference'!$A$8:$P$904,14,0)),IF(ISERROR(VLOOKUP($A34,'liste reference'!$B$8:$P$904,13,0)),"x",VLOOKUP($A34,'liste reference'!$B$8:$P$904,13,0)),VLOOKUP($A34,'liste reference'!$A$8:$P$904,14,0)))</f>
        <v>2</v>
      </c>
      <c r="I34" s="481" t="n">
        <f aca="false">IF(ISNUMBER(H34),IF(ISERROR(VLOOKUP($A34,'liste reference'!$A$7:$P$904,3,0)),IF(ISERROR(VLOOKUP($A34,'liste reference'!$B$7:$P$904,2,0)),"",VLOOKUP($A34,'liste reference'!$B$7:$P$904,2,0)),VLOOKUP($A34,'liste reference'!$A$7:$P$904,3,0)),"")</f>
        <v>13</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Stigeoclonium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1119</v>
      </c>
      <c r="Q34" s="486" t="n">
        <f aca="false">IF(ISTEXT(H34),"",(B34*$B$7/100)+(C34*$C$7/100))</f>
        <v>0.01595</v>
      </c>
      <c r="R34" s="487" t="n">
        <f aca="false">IF(OR(ISTEXT(H34),Q34=0),"",IF(Q34&lt;0.1,1,IF(Q34&lt;1,2,IF(Q34&lt;10,3,IF(Q34&lt;50,4,IF(Q34&gt;=50,5,""))))))</f>
        <v>1</v>
      </c>
      <c r="S34" s="487" t="n">
        <f aca="false">IF(ISERROR(R34*I34),0,R34*I34)</f>
        <v>13</v>
      </c>
      <c r="T34" s="487" t="n">
        <f aca="false">IF(ISERROR(R34*I34*J34),0,R34*I34*J34)</f>
        <v>26</v>
      </c>
      <c r="U34" s="499" t="n">
        <f aca="false">IF(ISERROR(R34*J34),0,R34*J34)</f>
        <v>2</v>
      </c>
      <c r="V34" s="488" t="str">
        <f aca="false">IF(AND(A34="",F34=0),"",IF(F34=0,"Il manque le(s) % de rec. !",""))</f>
        <v/>
      </c>
      <c r="W34" s="489"/>
      <c r="Y34" s="490" t="str">
        <f aca="false">IF(A34="new.cod","NEWCOD",IF(AND((Z34=""),ISTEXT(A34)),A34,IF(Z34="","",INDEX('liste reference'!$A$8:$A$904,Z34))))</f>
        <v>STISPX</v>
      </c>
      <c r="Z34" s="280" t="n">
        <f aca="false">IF(ISERROR(MATCH(A34,'liste reference'!$A$8:$A$904,0)),IF(ISERROR(MATCH(A34,'liste reference'!$B$8:$B$904,0)),"",(MATCH(A34,'liste reference'!$B$8:$B$904,0))),(MATCH(A34,'liste reference'!$A$8:$A$904,0)))</f>
        <v>71</v>
      </c>
      <c r="AA34" s="491"/>
      <c r="AB34" s="492"/>
      <c r="AC34" s="492"/>
      <c r="BB34" s="280" t="n">
        <f aca="false">IF(A34="","",1)</f>
        <v>1</v>
      </c>
    </row>
    <row r="35" customFormat="false" ht="12.75" hidden="false" customHeight="false" outlineLevel="0" collapsed="false">
      <c r="A35" s="493" t="s">
        <v>293</v>
      </c>
      <c r="B35" s="494" t="n">
        <v>1.75</v>
      </c>
      <c r="C35" s="495" t="n">
        <v>0.1</v>
      </c>
      <c r="D35" s="477" t="str">
        <f aca="false">IF(ISERROR(VLOOKUP($A35,'liste reference'!$A$7:$D$904,2,0)),IF(ISERROR(VLOOKUP($A35,'liste reference'!$B$7:$D$904,1,0)),"",VLOOKUP($A35,'liste reference'!$B$7:$D$904,1,0)),VLOOKUP($A35,'liste reference'!$A$7:$D$904,2,0))</f>
        <v>Tolypothrix sp.</v>
      </c>
      <c r="E35" s="496" t="e">
        <f aca="false">IF(D35="",0,VLOOKUP(D35,D$22:D34,1,0))</f>
        <v>#N/A</v>
      </c>
      <c r="F35" s="501" t="n">
        <f aca="false">($B35*$B$7+$C35*$C$7)/100</f>
        <v>1.3045</v>
      </c>
      <c r="G35" s="479" t="str">
        <f aca="false">IF(A35="","",IF(ISERROR(VLOOKUP($A35,'liste reference'!$A$7:$P$904,13,0)),IF(ISERROR(VLOOKUP($A35,'liste reference'!$B$7:$P$904,12,0)),"    -",VLOOKUP($A35,'liste reference'!$B$7:$P$904,12,0)),VLOOKUP($A35,'liste reference'!$A$7:$P$904,13,0)))</f>
        <v>ALG</v>
      </c>
      <c r="H35" s="480" t="n">
        <f aca="false">IF(A35="","x",IF(ISERROR(VLOOKUP($A35,'liste reference'!$A$8:$P$904,14,0)),IF(ISERROR(VLOOKUP($A35,'liste reference'!$B$8:$P$904,13,0)),"x",VLOOKUP($A35,'liste reference'!$B$8:$P$904,13,0)),VLOOKUP($A35,'liste reference'!$A$8:$P$904,14,0)))</f>
        <v>2</v>
      </c>
      <c r="I35" s="481" t="n">
        <f aca="false">IF(ISNUMBER(H35),IF(ISERROR(VLOOKUP($A35,'liste reference'!$A$7:$P$904,3,0)),IF(ISERROR(VLOOKUP($A35,'liste reference'!$B$7:$P$904,2,0)),"",VLOOKUP($A35,'liste reference'!$B$7:$P$904,2,0)),VLOOKUP($A35,'liste reference'!$A$7:$P$904,3,0)),"")</f>
        <v>0</v>
      </c>
      <c r="J35" s="481" t="n">
        <f aca="false">IF(ISNUMBER(H35),IF(ISERROR(VLOOKUP($A35,'liste reference'!$A$7:$P$904,4,0)),IF(ISERROR(VLOOKUP($A35,'liste reference'!$B$7:$P$904,3,0)),"",VLOOKUP($A35,'liste reference'!$B$7:$P$904,3,0)),VLOOKUP($A35,'liste reference'!$A$7:$P$904,4,0)),"")</f>
        <v>0</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Tolypothrix sp.</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6304</v>
      </c>
      <c r="Q35" s="486" t="n">
        <f aca="false">IF(ISTEXT(H35),"",(B35*$B$7/100)+(C35*$C$7/100))</f>
        <v>1.3045</v>
      </c>
      <c r="R35" s="487" t="n">
        <f aca="false">IF(OR(ISTEXT(H35),Q35=0),"",IF(Q35&lt;0.1,1,IF(Q35&lt;1,2,IF(Q35&lt;10,3,IF(Q35&lt;50,4,IF(Q35&gt;=50,5,""))))))</f>
        <v>3</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TOYSPX</v>
      </c>
      <c r="Z35" s="280" t="n">
        <f aca="false">IF(ISERROR(MATCH(A35,'liste reference'!$A$8:$A$904,0)),IF(ISERROR(MATCH(A35,'liste reference'!$B$8:$B$904,0)),"",(MATCH(A35,'liste reference'!$B$8:$B$904,0))),(MATCH(A35,'liste reference'!$A$8:$A$904,0)))</f>
        <v>79</v>
      </c>
      <c r="AA35" s="491"/>
      <c r="AB35" s="492"/>
      <c r="AC35" s="492"/>
      <c r="BB35" s="280" t="n">
        <f aca="false">IF(A35="","",1)</f>
        <v>1</v>
      </c>
    </row>
    <row r="36" customFormat="false" ht="12.75" hidden="false" customHeight="false" outlineLevel="0" collapsed="false">
      <c r="A36" s="493" t="s">
        <v>359</v>
      </c>
      <c r="B36" s="494" t="n">
        <v>0.005</v>
      </c>
      <c r="C36" s="495"/>
      <c r="D36" s="477" t="str">
        <f aca="false">IF(ISERROR(VLOOKUP($A36,'liste reference'!$A$7:$D$904,2,0)),IF(ISERROR(VLOOKUP($A36,'liste reference'!$B$7:$D$904,1,0)),"",VLOOKUP($A36,'liste reference'!$B$7:$D$904,1,0)),VLOOKUP($A36,'liste reference'!$A$7:$D$904,2,0))</f>
        <v>Chiloscyphus polyanthos</v>
      </c>
      <c r="E36" s="496" t="e">
        <f aca="false">IF(D36="",0,VLOOKUP(D36,D$22:D35,1,0))</f>
        <v>#N/A</v>
      </c>
      <c r="F36" s="501" t="n">
        <f aca="false">($B36*$B$7+$C36*$C$7)/100</f>
        <v>0.00365</v>
      </c>
      <c r="G36" s="479" t="str">
        <f aca="false">IF(A36="","",IF(ISERROR(VLOOKUP($A36,'liste reference'!$A$7:$P$904,13,0)),IF(ISERROR(VLOOKUP($A36,'liste reference'!$B$7:$P$904,12,0)),"    -",VLOOKUP($A36,'liste reference'!$B$7:$P$904,12,0)),VLOOKUP($A36,'liste reference'!$A$7:$P$904,13,0)))</f>
        <v>BRh</v>
      </c>
      <c r="H36" s="480" t="n">
        <f aca="false">IF(A36="","x",IF(ISERROR(VLOOKUP($A36,'liste reference'!$A$8:$P$904,14,0)),IF(ISERROR(VLOOKUP($A36,'liste reference'!$B$8:$P$904,13,0)),"x",VLOOKUP($A36,'liste reference'!$B$8:$P$904,13,0)),VLOOKUP($A36,'liste reference'!$A$8:$P$904,14,0)))</f>
        <v>4</v>
      </c>
      <c r="I36" s="481" t="n">
        <f aca="false">IF(ISNUMBER(H36),IF(ISERROR(VLOOKUP($A36,'liste reference'!$A$7:$P$904,3,0)),IF(ISERROR(VLOOKUP($A36,'liste reference'!$B$7:$P$904,2,0)),"",VLOOKUP($A36,'liste reference'!$B$7:$P$904,2,0)),VLOOKUP($A36,'liste reference'!$A$7:$P$904,3,0)),"")</f>
        <v>15</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Chiloscyphus polyanthos</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1186</v>
      </c>
      <c r="Q36" s="486" t="n">
        <f aca="false">IF(ISTEXT(H36),"",(B36*$B$7/100)+(C36*$C$7/100))</f>
        <v>0.00365</v>
      </c>
      <c r="R36" s="487" t="n">
        <f aca="false">IF(OR(ISTEXT(H36),Q36=0),"",IF(Q36&lt;0.1,1,IF(Q36&lt;1,2,IF(Q36&lt;10,3,IF(Q36&lt;50,4,IF(Q36&gt;=50,5,""))))))</f>
        <v>1</v>
      </c>
      <c r="S36" s="487" t="n">
        <f aca="false">IF(ISERROR(R36*I36),0,R36*I36)</f>
        <v>15</v>
      </c>
      <c r="T36" s="487" t="n">
        <f aca="false">IF(ISERROR(R36*I36*J36),0,R36*I36*J36)</f>
        <v>30</v>
      </c>
      <c r="U36" s="499" t="n">
        <f aca="false">IF(ISERROR(R36*J36),0,R36*J36)</f>
        <v>2</v>
      </c>
      <c r="V36" s="488" t="str">
        <f aca="false">IF(AND(A36="",F36=0),"",IF(F36=0,"Il manque le(s) % de rec. !",""))</f>
        <v/>
      </c>
      <c r="W36" s="489"/>
      <c r="Y36" s="490" t="str">
        <f aca="false">IF(A36="new.cod","NEWCOD",IF(AND((Z36=""),ISTEXT(A36)),A36,IF(Z36="","",INDEX('liste reference'!$A$8:$A$904,Z36))))</f>
        <v>CHIPOL</v>
      </c>
      <c r="Z36" s="280" t="n">
        <f aca="false">IF(ISERROR(MATCH(A36,'liste reference'!$A$8:$A$904,0)),IF(ISERROR(MATCH(A36,'liste reference'!$B$8:$B$904,0)),"",(MATCH(A36,'liste reference'!$B$8:$B$904,0))),(MATCH(A36,'liste reference'!$A$8:$A$904,0)))</f>
        <v>97</v>
      </c>
      <c r="AA36" s="491"/>
      <c r="AB36" s="492"/>
      <c r="AC36" s="492"/>
      <c r="BB36" s="280" t="n">
        <f aca="false">IF(A36="","",1)</f>
        <v>1</v>
      </c>
    </row>
    <row r="37" customFormat="false" ht="12.75" hidden="false" customHeight="false" outlineLevel="0" collapsed="false">
      <c r="A37" s="493" t="s">
        <v>645</v>
      </c>
      <c r="B37" s="494" t="n">
        <v>0.005</v>
      </c>
      <c r="C37" s="495"/>
      <c r="D37" s="477" t="str">
        <f aca="false">IF(ISERROR(VLOOKUP($A37,'liste reference'!$A$7:$D$904,2,0)),IF(ISERROR(VLOOKUP($A37,'liste reference'!$B$7:$D$904,1,0)),"",VLOOKUP($A37,'liste reference'!$B$7:$D$904,1,0)),VLOOKUP($A37,'liste reference'!$A$7:$D$904,2,0))</f>
        <v>Amblystegium riparium</v>
      </c>
      <c r="E37" s="496" t="e">
        <f aca="false">IF(D37="",0,VLOOKUP(D37,D$22:D36,1,0))</f>
        <v>#N/A</v>
      </c>
      <c r="F37" s="501" t="n">
        <f aca="false">($B37*$B$7+$C37*$C$7)/100</f>
        <v>0.00365</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5</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Amblystegium riparium</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1219</v>
      </c>
      <c r="Q37" s="486" t="n">
        <f aca="false">IF(ISTEXT(H37),"",(B37*$B$7/100)+(C37*$C$7/100))</f>
        <v>0.00365</v>
      </c>
      <c r="R37" s="487" t="n">
        <f aca="false">IF(OR(ISTEXT(H37),Q37=0),"",IF(Q37&lt;0.1,1,IF(Q37&lt;1,2,IF(Q37&lt;10,3,IF(Q37&lt;50,4,IF(Q37&gt;=50,5,""))))))</f>
        <v>1</v>
      </c>
      <c r="S37" s="487" t="n">
        <f aca="false">IF(ISERROR(R37*I37),0,R37*I37)</f>
        <v>5</v>
      </c>
      <c r="T37" s="487" t="n">
        <f aca="false">IF(ISERROR(R37*I37*J37),0,R37*I37*J37)</f>
        <v>10</v>
      </c>
      <c r="U37" s="499" t="n">
        <f aca="false">IF(ISERROR(R37*J37),0,R37*J37)</f>
        <v>2</v>
      </c>
      <c r="V37" s="488" t="str">
        <f aca="false">IF(AND(A37="",F37=0),"",IF(F37=0,"Il manque le(s) % de rec. !",""))</f>
        <v/>
      </c>
      <c r="W37" s="489"/>
      <c r="Y37" s="490" t="str">
        <f aca="false">IF(A37="new.cod","NEWCOD",IF(AND((Z37=""),ISTEXT(A37)),A37,IF(Z37="","",INDEX('liste reference'!$A$8:$A$904,Z37))))</f>
        <v>AMBRIP</v>
      </c>
      <c r="Z37" s="280" t="n">
        <f aca="false">IF(ISERROR(MATCH(A37,'liste reference'!$A$8:$A$904,0)),IF(ISERROR(MATCH(A37,'liste reference'!$B$8:$B$904,0)),"",(MATCH(A37,'liste reference'!$B$8:$B$904,0))),(MATCH(A37,'liste reference'!$A$8:$A$904,0)))</f>
        <v>148</v>
      </c>
      <c r="AA37" s="491"/>
      <c r="AB37" s="492"/>
      <c r="AC37" s="492"/>
      <c r="BB37" s="280" t="n">
        <f aca="false">IF(A37="","",1)</f>
        <v>1</v>
      </c>
    </row>
    <row r="38" customFormat="false" ht="12.75" hidden="false" customHeight="false" outlineLevel="0" collapsed="false">
      <c r="A38" s="493" t="s">
        <v>730</v>
      </c>
      <c r="B38" s="494" t="n">
        <v>0.005</v>
      </c>
      <c r="C38" s="495"/>
      <c r="D38" s="477" t="str">
        <f aca="false">IF(ISERROR(VLOOKUP($A38,'liste reference'!$A$7:$D$904,2,0)),IF(ISERROR(VLOOKUP($A38,'liste reference'!$B$7:$D$904,1,0)),"",VLOOKUP($A38,'liste reference'!$B$7:$D$904,1,0)),VLOOKUP($A38,'liste reference'!$A$7:$D$904,2,0))</f>
        <v>Calliergonella cuspidata</v>
      </c>
      <c r="E38" s="496" t="e">
        <f aca="false">IF(D38="",0,VLOOKUP(D38,D$22:D37,1,0))</f>
        <v>#N/A</v>
      </c>
      <c r="F38" s="501" t="n">
        <f aca="false">($B38*$B$7+$C38*$C$7)/100</f>
        <v>0.00365</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0</v>
      </c>
      <c r="J38" s="481" t="n">
        <f aca="false">IF(ISNUMBER(H38),IF(ISERROR(VLOOKUP($A38,'liste reference'!$A$7:$P$904,4,0)),IF(ISERROR(VLOOKUP($A38,'liste reference'!$B$7:$P$904,3,0)),"",VLOOKUP($A38,'liste reference'!$B$7:$P$904,3,0)),VLOOKUP($A38,'liste reference'!$A$7:$P$904,4,0)),"")</f>
        <v>0</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Calliergonella cuspidata</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1228</v>
      </c>
      <c r="Q38" s="486" t="n">
        <f aca="false">IF(ISTEXT(H38),"",(B38*$B$7/100)+(C38*$C$7/100))</f>
        <v>0.00365</v>
      </c>
      <c r="R38" s="487" t="n">
        <f aca="false">IF(OR(ISTEXT(H38),Q38=0),"",IF(Q38&lt;0.1,1,IF(Q38&lt;1,2,IF(Q38&lt;10,3,IF(Q38&lt;50,4,IF(Q38&gt;=50,5,""))))))</f>
        <v>1</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CAECUS</v>
      </c>
      <c r="Z38" s="280" t="n">
        <f aca="false">IF(ISERROR(MATCH(A38,'liste reference'!$A$8:$A$904,0)),IF(ISERROR(MATCH(A38,'liste reference'!$B$8:$B$904,0)),"",(MATCH(A38,'liste reference'!$B$8:$B$904,0))),(MATCH(A38,'liste reference'!$A$8:$A$904,0)))</f>
        <v>169</v>
      </c>
      <c r="AA38" s="491"/>
      <c r="AB38" s="492"/>
      <c r="AC38" s="492"/>
      <c r="BB38" s="280" t="n">
        <f aca="false">IF(A38="","",1)</f>
        <v>1</v>
      </c>
    </row>
    <row r="39" customFormat="false" ht="12.75" hidden="false" customHeight="false" outlineLevel="0" collapsed="false">
      <c r="A39" s="493" t="s">
        <v>741</v>
      </c>
      <c r="B39" s="494" t="n">
        <v>0.005</v>
      </c>
      <c r="C39" s="495"/>
      <c r="D39" s="477" t="str">
        <f aca="false">IF(ISERROR(VLOOKUP($A39,'liste reference'!$A$7:$D$904,2,0)),IF(ISERROR(VLOOKUP($A39,'liste reference'!$B$7:$D$904,1,0)),"",VLOOKUP($A39,'liste reference'!$B$7:$D$904,1,0)),VLOOKUP($A39,'liste reference'!$A$7:$D$904,2,0))</f>
        <v>Cinclidotus fontinaloides</v>
      </c>
      <c r="E39" s="496" t="e">
        <f aca="false">IF(D39="",0,VLOOKUP(D39,D$22:D38,1,0))</f>
        <v>#N/A</v>
      </c>
      <c r="F39" s="501" t="n">
        <f aca="false">($B39*$B$7+$C39*$C$7)/100</f>
        <v>0.00365</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12</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Cinclidotus fontinaloides</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1320</v>
      </c>
      <c r="Q39" s="486" t="n">
        <f aca="false">IF(ISTEXT(H39),"",(B39*$B$7/100)+(C39*$C$7/100))</f>
        <v>0.00365</v>
      </c>
      <c r="R39" s="487" t="n">
        <f aca="false">IF(OR(ISTEXT(H39),Q39=0),"",IF(Q39&lt;0.1,1,IF(Q39&lt;1,2,IF(Q39&lt;10,3,IF(Q39&lt;50,4,IF(Q39&gt;=50,5,""))))))</f>
        <v>1</v>
      </c>
      <c r="S39" s="487" t="n">
        <f aca="false">IF(ISERROR(R39*I39),0,R39*I39)</f>
        <v>12</v>
      </c>
      <c r="T39" s="487" t="n">
        <f aca="false">IF(ISERROR(R39*I39*J39),0,R39*I39*J39)</f>
        <v>24</v>
      </c>
      <c r="U39" s="499" t="n">
        <f aca="false">IF(ISERROR(R39*J39),0,R39*J39)</f>
        <v>2</v>
      </c>
      <c r="V39" s="488" t="str">
        <f aca="false">IF(AND(A39="",F39=0),"",IF(F39=0,"Il manque le(s) % de rec. !",""))</f>
        <v/>
      </c>
      <c r="W39" s="489"/>
      <c r="Y39" s="490" t="str">
        <f aca="false">IF(A39="new.cod","NEWCOD",IF(AND((Z39=""),ISTEXT(A39)),A39,IF(Z39="","",INDEX('liste reference'!$A$8:$A$904,Z39))))</f>
        <v>CINFON</v>
      </c>
      <c r="Z39" s="280" t="n">
        <f aca="false">IF(ISERROR(MATCH(A39,'liste reference'!$A$8:$A$904,0)),IF(ISERROR(MATCH(A39,'liste reference'!$B$8:$B$904,0)),"",(MATCH(A39,'liste reference'!$B$8:$B$904,0))),(MATCH(A39,'liste reference'!$A$8:$A$904,0)))</f>
        <v>172</v>
      </c>
      <c r="AA39" s="491"/>
      <c r="AB39" s="492"/>
      <c r="AC39" s="492"/>
      <c r="BB39" s="280" t="n">
        <f aca="false">IF(A39="","",1)</f>
        <v>1</v>
      </c>
    </row>
    <row r="40" customFormat="false" ht="12.75" hidden="false" customHeight="false" outlineLevel="0" collapsed="false">
      <c r="A40" s="493" t="s">
        <v>910</v>
      </c>
      <c r="B40" s="494"/>
      <c r="C40" s="495" t="n">
        <v>0.04</v>
      </c>
      <c r="D40" s="477" t="str">
        <f aca="false">IF(ISERROR(VLOOKUP($A40,'liste reference'!$A$7:$D$904,2,0)),IF(ISERROR(VLOOKUP($A40,'liste reference'!$B$7:$D$904,1,0)),"",VLOOKUP($A40,'liste reference'!$B$7:$D$904,1,0)),VLOOKUP($A40,'liste reference'!$A$7:$D$904,2,0))</f>
        <v>Fontinalis hypnoides var. duriaei</v>
      </c>
      <c r="E40" s="496" t="e">
        <f aca="false">IF(D40="",0,VLOOKUP(D40,D$22:D39,1,0))</f>
        <v>#N/A</v>
      </c>
      <c r="F40" s="501" t="n">
        <f aca="false">($B40*$B$7+$C40*$C$7)/100</f>
        <v>0.0108</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14</v>
      </c>
      <c r="J40" s="481" t="n">
        <f aca="false">IF(ISNUMBER(H40),IF(ISERROR(VLOOKUP($A40,'liste reference'!$A$7:$P$904,4,0)),IF(ISERROR(VLOOKUP($A40,'liste reference'!$B$7:$P$904,3,0)),"",VLOOKUP($A40,'liste reference'!$B$7:$P$904,3,0)),VLOOKUP($A40,'liste reference'!$A$7:$P$904,4,0)),"")</f>
        <v>3</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Fontinalis hypnoides var. duriaei</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10215</v>
      </c>
      <c r="Q40" s="486" t="n">
        <f aca="false">IF(ISTEXT(H40),"",(B40*$B$7/100)+(C40*$C$7/100))</f>
        <v>0.0108</v>
      </c>
      <c r="R40" s="487" t="n">
        <f aca="false">IF(OR(ISTEXT(H40),Q40=0),"",IF(Q40&lt;0.1,1,IF(Q40&lt;1,2,IF(Q40&lt;10,3,IF(Q40&lt;50,4,IF(Q40&gt;=50,5,""))))))</f>
        <v>1</v>
      </c>
      <c r="S40" s="487" t="n">
        <f aca="false">IF(ISERROR(R40*I40),0,R40*I40)</f>
        <v>14</v>
      </c>
      <c r="T40" s="487" t="n">
        <f aca="false">IF(ISERROR(R40*I40*J40),0,R40*I40*J40)</f>
        <v>42</v>
      </c>
      <c r="U40" s="499" t="n">
        <f aca="false">IF(ISERROR(R40*J40),0,R40*J40)</f>
        <v>3</v>
      </c>
      <c r="V40" s="488" t="str">
        <f aca="false">IF(AND(A40="",F40=0),"",IF(F40=0,"Il manque le(s) % de rec. !",""))</f>
        <v/>
      </c>
      <c r="W40" s="489"/>
      <c r="Y40" s="490" t="str">
        <f aca="false">IF(A40="new.cod","NEWCOD",IF(AND((Z40=""),ISTEXT(A40)),A40,IF(Z40="","",INDEX('liste reference'!$A$8:$A$904,Z40))))</f>
        <v>FONHYD</v>
      </c>
      <c r="Z40" s="280" t="n">
        <f aca="false">IF(ISERROR(MATCH(A40,'liste reference'!$A$8:$A$904,0)),IF(ISERROR(MATCH(A40,'liste reference'!$B$8:$B$904,0)),"",(MATCH(A40,'liste reference'!$B$8:$B$904,0))),(MATCH(A40,'liste reference'!$A$8:$A$904,0)))</f>
        <v>212</v>
      </c>
      <c r="AA40" s="491"/>
      <c r="AB40" s="492"/>
      <c r="AC40" s="492"/>
      <c r="BB40" s="280" t="n">
        <f aca="false">IF(A40="","",1)</f>
        <v>1</v>
      </c>
    </row>
    <row r="41" customFormat="false" ht="12.75" hidden="false" customHeight="false" outlineLevel="0" collapsed="false">
      <c r="A41" s="493" t="s">
        <v>916</v>
      </c>
      <c r="B41" s="494" t="n">
        <v>0.04</v>
      </c>
      <c r="C41" s="495"/>
      <c r="D41" s="477" t="str">
        <f aca="false">IF(ISERROR(VLOOKUP($A41,'liste reference'!$A$7:$D$904,2,0)),IF(ISERROR(VLOOKUP($A41,'liste reference'!$B$7:$D$904,1,0)),"",VLOOKUP($A41,'liste reference'!$B$7:$D$904,1,0)),VLOOKUP($A41,'liste reference'!$A$7:$D$904,2,0))</f>
        <v>Fontinalis squamosa</v>
      </c>
      <c r="E41" s="496" t="e">
        <f aca="false">IF(D41="",0,VLOOKUP(D41,D$22:D40,1,0))</f>
        <v>#N/A</v>
      </c>
      <c r="F41" s="501" t="n">
        <f aca="false">($B41*$B$7+$C41*$C$7)/100</f>
        <v>0.0292</v>
      </c>
      <c r="G41" s="479" t="str">
        <f aca="false">IF(A41="","",IF(ISERROR(VLOOKUP($A41,'liste reference'!$A$7:$P$904,13,0)),IF(ISERROR(VLOOKUP($A41,'liste reference'!$B$7:$P$904,12,0)),"    -",VLOOKUP($A41,'liste reference'!$B$7:$P$904,12,0)),VLOOKUP($A41,'liste reference'!$A$7:$P$904,13,0)))</f>
        <v>BRm</v>
      </c>
      <c r="H41" s="480" t="n">
        <f aca="false">IF(A41="","x",IF(ISERROR(VLOOKUP($A41,'liste reference'!$A$8:$P$904,14,0)),IF(ISERROR(VLOOKUP($A41,'liste reference'!$B$8:$P$904,13,0)),"x",VLOOKUP($A41,'liste reference'!$B$8:$P$904,13,0)),VLOOKUP($A41,'liste reference'!$A$8:$P$904,14,0)))</f>
        <v>5</v>
      </c>
      <c r="I41" s="481" t="n">
        <f aca="false">IF(ISNUMBER(H41),IF(ISERROR(VLOOKUP($A41,'liste reference'!$A$7:$P$904,3,0)),IF(ISERROR(VLOOKUP($A41,'liste reference'!$B$7:$P$904,2,0)),"",VLOOKUP($A41,'liste reference'!$B$7:$P$904,2,0)),VLOOKUP($A41,'liste reference'!$A$7:$P$904,3,0)),"")</f>
        <v>16</v>
      </c>
      <c r="J41" s="481" t="n">
        <f aca="false">IF(ISNUMBER(H41),IF(ISERROR(VLOOKUP($A41,'liste reference'!$A$7:$P$904,4,0)),IF(ISERROR(VLOOKUP($A41,'liste reference'!$B$7:$P$904,3,0)),"",VLOOKUP($A41,'liste reference'!$B$7:$P$904,3,0)),VLOOKUP($A41,'liste reference'!$A$7:$P$904,4,0)),"")</f>
        <v>3</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Fontinalis squamosa</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1312</v>
      </c>
      <c r="Q41" s="486" t="n">
        <f aca="false">IF(ISTEXT(H41),"",(B41*$B$7/100)+(C41*$C$7/100))</f>
        <v>0.0292</v>
      </c>
      <c r="R41" s="487" t="n">
        <f aca="false">IF(OR(ISTEXT(H41),Q41=0),"",IF(Q41&lt;0.1,1,IF(Q41&lt;1,2,IF(Q41&lt;10,3,IF(Q41&lt;50,4,IF(Q41&gt;=50,5,""))))))</f>
        <v>1</v>
      </c>
      <c r="S41" s="487" t="n">
        <f aca="false">IF(ISERROR(R41*I41),0,R41*I41)</f>
        <v>16</v>
      </c>
      <c r="T41" s="487" t="n">
        <f aca="false">IF(ISERROR(R41*I41*J41),0,R41*I41*J41)</f>
        <v>48</v>
      </c>
      <c r="U41" s="499" t="n">
        <f aca="false">IF(ISERROR(R41*J41),0,R41*J41)</f>
        <v>3</v>
      </c>
      <c r="V41" s="488" t="str">
        <f aca="false">IF(AND(A41="",F41=0),"",IF(F41=0,"Il manque le(s) % de rec. !",""))</f>
        <v/>
      </c>
      <c r="W41" s="489"/>
      <c r="Y41" s="490" t="str">
        <f aca="false">IF(A41="new.cod","NEWCOD",IF(AND((Z41=""),ISTEXT(A41)),A41,IF(Z41="","",INDEX('liste reference'!$A$8:$A$904,Z41))))</f>
        <v>FONSQU</v>
      </c>
      <c r="Z41" s="280" t="n">
        <f aca="false">IF(ISERROR(MATCH(A41,'liste reference'!$A$8:$A$904,0)),IF(ISERROR(MATCH(A41,'liste reference'!$B$8:$B$904,0)),"",(MATCH(A41,'liste reference'!$B$8:$B$904,0))),(MATCH(A41,'liste reference'!$A$8:$A$904,0)))</f>
        <v>214</v>
      </c>
      <c r="AA41" s="491"/>
      <c r="AB41" s="492"/>
      <c r="AC41" s="492"/>
      <c r="BB41" s="280" t="n">
        <f aca="false">IF(A41="","",1)</f>
        <v>1</v>
      </c>
    </row>
    <row r="42" customFormat="false" ht="12.75" hidden="false" customHeight="false" outlineLevel="0" collapsed="false">
      <c r="A42" s="493" t="s">
        <v>1054</v>
      </c>
      <c r="B42" s="494" t="n">
        <v>0.01</v>
      </c>
      <c r="C42" s="495"/>
      <c r="D42" s="477" t="str">
        <f aca="false">IF(ISERROR(VLOOKUP($A42,'liste reference'!$A$7:$D$904,2,0)),IF(ISERROR(VLOOKUP($A42,'liste reference'!$B$7:$D$904,1,0)),"",VLOOKUP($A42,'liste reference'!$B$7:$D$904,1,0)),VLOOKUP($A42,'liste reference'!$A$7:$D$904,2,0))</f>
        <v>Rhynchostegium riparioides</v>
      </c>
      <c r="E42" s="496" t="e">
        <f aca="false">IF(D42="",0,VLOOKUP(D42,D$22:D41,1,0))</f>
        <v>#N/A</v>
      </c>
      <c r="F42" s="501" t="n">
        <f aca="false">($B42*$B$7+$C42*$C$7)/100</f>
        <v>0.0073</v>
      </c>
      <c r="G42" s="479" t="str">
        <f aca="false">IF(A42="","",IF(ISERROR(VLOOKUP($A42,'liste reference'!$A$7:$P$904,13,0)),IF(ISERROR(VLOOKUP($A42,'liste reference'!$B$7:$P$904,12,0)),"    -",VLOOKUP($A42,'liste reference'!$B$7:$P$904,12,0)),VLOOKUP($A42,'liste reference'!$A$7:$P$904,13,0)))</f>
        <v>BRm</v>
      </c>
      <c r="H42" s="480" t="n">
        <f aca="false">IF(A42="","x",IF(ISERROR(VLOOKUP($A42,'liste reference'!$A$8:$P$904,14,0)),IF(ISERROR(VLOOKUP($A42,'liste reference'!$B$8:$P$904,13,0)),"x",VLOOKUP($A42,'liste reference'!$B$8:$P$904,13,0)),VLOOKUP($A42,'liste reference'!$A$8:$P$904,14,0)))</f>
        <v>5</v>
      </c>
      <c r="I42" s="481" t="n">
        <f aca="false">IF(ISNUMBER(H42),IF(ISERROR(VLOOKUP($A42,'liste reference'!$A$7:$P$904,3,0)),IF(ISERROR(VLOOKUP($A42,'liste reference'!$B$7:$P$904,2,0)),"",VLOOKUP($A42,'liste reference'!$B$7:$P$904,2,0)),VLOOKUP($A42,'liste reference'!$A$7:$P$904,3,0)),"")</f>
        <v>12</v>
      </c>
      <c r="J42" s="481" t="n">
        <f aca="false">IF(ISNUMBER(H42),IF(ISERROR(VLOOKUP($A42,'liste reference'!$A$7:$P$904,4,0)),IF(ISERROR(VLOOKUP($A42,'liste reference'!$B$7:$P$904,3,0)),"",VLOOKUP($A42,'liste reference'!$B$7:$P$904,3,0)),VLOOKUP($A42,'liste reference'!$A$7:$P$904,4,0)),"")</f>
        <v>1</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Rhynchostegium riparioides</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1268</v>
      </c>
      <c r="Q42" s="486" t="n">
        <f aca="false">IF(ISTEXT(H42),"",(B42*$B$7/100)+(C42*$C$7/100))</f>
        <v>0.0073</v>
      </c>
      <c r="R42" s="487" t="n">
        <f aca="false">IF(OR(ISTEXT(H42),Q42=0),"",IF(Q42&lt;0.1,1,IF(Q42&lt;1,2,IF(Q42&lt;10,3,IF(Q42&lt;50,4,IF(Q42&gt;=50,5,""))))))</f>
        <v>1</v>
      </c>
      <c r="S42" s="487" t="n">
        <f aca="false">IF(ISERROR(R42*I42),0,R42*I42)</f>
        <v>12</v>
      </c>
      <c r="T42" s="487" t="n">
        <f aca="false">IF(ISERROR(R42*I42*J42),0,R42*I42*J42)</f>
        <v>12</v>
      </c>
      <c r="U42" s="499" t="n">
        <f aca="false">IF(ISERROR(R42*J42),0,R42*J42)</f>
        <v>1</v>
      </c>
      <c r="V42" s="488" t="str">
        <f aca="false">IF(AND(A42="",F42=0),"",IF(F42=0,"Il manque le(s) % de rec. !",""))</f>
        <v/>
      </c>
      <c r="W42" s="489"/>
      <c r="Y42" s="490" t="str">
        <f aca="false">IF(A42="new.cod","NEWCOD",IF(AND((Z42=""),ISTEXT(A42)),A42,IF(Z42="","",INDEX('liste reference'!$A$8:$A$904,Z42))))</f>
        <v>RHYRIP</v>
      </c>
      <c r="Z42" s="280" t="n">
        <f aca="false">IF(ISERROR(MATCH(A42,'liste reference'!$A$8:$A$904,0)),IF(ISERROR(MATCH(A42,'liste reference'!$B$8:$B$904,0)),"",(MATCH(A42,'liste reference'!$B$8:$B$904,0))),(MATCH(A42,'liste reference'!$A$8:$A$904,0)))</f>
        <v>252</v>
      </c>
      <c r="AA42" s="491"/>
      <c r="AB42" s="492"/>
      <c r="AC42" s="492"/>
      <c r="BB42" s="280" t="n">
        <f aca="false">IF(A42="","",1)</f>
        <v>1</v>
      </c>
    </row>
    <row r="43" customFormat="false" ht="12.75" hidden="false" customHeight="false" outlineLevel="0" collapsed="false">
      <c r="A43" s="493" t="s">
        <v>1153</v>
      </c>
      <c r="B43" s="494" t="n">
        <v>0.005</v>
      </c>
      <c r="C43" s="495"/>
      <c r="D43" s="477" t="str">
        <f aca="false">IF(ISERROR(VLOOKUP($A43,'liste reference'!$A$7:$D$904,2,0)),IF(ISERROR(VLOOKUP($A43,'liste reference'!$B$7:$D$904,1,0)),"",VLOOKUP($A43,'liste reference'!$B$7:$D$904,1,0)),VLOOKUP($A43,'liste reference'!$A$7:$D$904,2,0))</f>
        <v>Equisetum arvense</v>
      </c>
      <c r="E43" s="496" t="e">
        <f aca="false">IF(D43="",0,VLOOKUP(D43,D$22:D42,1,0))</f>
        <v>#N/A</v>
      </c>
      <c r="F43" s="501" t="n">
        <f aca="false">($B43*$B$7+$C43*$C$7)/100</f>
        <v>0.00365</v>
      </c>
      <c r="G43" s="479" t="str">
        <f aca="false">IF(A43="","",IF(ISERROR(VLOOKUP($A43,'liste reference'!$A$7:$P$904,13,0)),IF(ISERROR(VLOOKUP($A43,'liste reference'!$B$7:$P$904,12,0)),"    -",VLOOKUP($A43,'liste reference'!$B$7:$P$904,12,0)),VLOOKUP($A43,'liste reference'!$A$7:$P$904,13,0)))</f>
        <v>PTE</v>
      </c>
      <c r="H43" s="480" t="n">
        <f aca="false">IF(A43="","x",IF(ISERROR(VLOOKUP($A43,'liste reference'!$A$8:$P$904,14,0)),IF(ISERROR(VLOOKUP($A43,'liste reference'!$B$8:$P$904,13,0)),"x",VLOOKUP($A43,'liste reference'!$B$8:$P$904,13,0)),VLOOKUP($A43,'liste reference'!$A$8:$P$904,14,0)))</f>
        <v>6</v>
      </c>
      <c r="I43" s="481" t="n">
        <f aca="false">IF(ISNUMBER(H43),IF(ISERROR(VLOOKUP($A43,'liste reference'!$A$7:$P$904,3,0)),IF(ISERROR(VLOOKUP($A43,'liste reference'!$B$7:$P$904,2,0)),"",VLOOKUP($A43,'liste reference'!$B$7:$P$904,2,0)),VLOOKUP($A43,'liste reference'!$A$7:$P$904,3,0)),"")</f>
        <v>0</v>
      </c>
      <c r="J43" s="481" t="n">
        <f aca="false">IF(ISNUMBER(H43),IF(ISERROR(VLOOKUP($A43,'liste reference'!$A$7:$P$904,4,0)),IF(ISERROR(VLOOKUP($A43,'liste reference'!$B$7:$P$904,3,0)),"",VLOOKUP($A43,'liste reference'!$B$7:$P$904,3,0)),VLOOKUP($A43,'liste reference'!$A$7:$P$904,4,0)),"")</f>
        <v>0</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Equisetum arvense</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1384</v>
      </c>
      <c r="Q43" s="486" t="n">
        <f aca="false">IF(ISTEXT(H43),"",(B43*$B$7/100)+(C43*$C$7/100))</f>
        <v>0.00365</v>
      </c>
      <c r="R43" s="487" t="n">
        <f aca="false">IF(OR(ISTEXT(H43),Q43=0),"",IF(Q43&lt;0.1,1,IF(Q43&lt;1,2,IF(Q43&lt;10,3,IF(Q43&lt;50,4,IF(Q43&gt;=50,5,""))))))</f>
        <v>1</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EQUARV</v>
      </c>
      <c r="Z43" s="280" t="n">
        <f aca="false">IF(ISERROR(MATCH(A43,'liste reference'!$A$8:$A$904,0)),IF(ISERROR(MATCH(A43,'liste reference'!$B$8:$B$904,0)),"",(MATCH(A43,'liste reference'!$B$8:$B$904,0))),(MATCH(A43,'liste reference'!$A$8:$A$904,0)))</f>
        <v>278</v>
      </c>
      <c r="AA43" s="491"/>
      <c r="AB43" s="492"/>
      <c r="AC43" s="492"/>
      <c r="BB43" s="280" t="n">
        <f aca="false">IF(A43="","",1)</f>
        <v>1</v>
      </c>
    </row>
    <row r="44" customFormat="false" ht="12.75" hidden="false" customHeight="false" outlineLevel="0" collapsed="false">
      <c r="A44" s="493" t="s">
        <v>1197</v>
      </c>
      <c r="B44" s="494" t="n">
        <v>0.05</v>
      </c>
      <c r="C44" s="495"/>
      <c r="D44" s="477" t="str">
        <f aca="false">IF(ISERROR(VLOOKUP($A44,'liste reference'!$A$7:$D$904,2,0)),IF(ISERROR(VLOOKUP($A44,'liste reference'!$B$7:$D$904,1,0)),"",VLOOKUP($A44,'liste reference'!$B$7:$D$904,1,0)),VLOOKUP($A44,'liste reference'!$A$7:$D$904,2,0))</f>
        <v>Osmunda regalis</v>
      </c>
      <c r="E44" s="496" t="e">
        <f aca="false">IF(D44="",0,VLOOKUP(D44,D$22:D43,1,0))</f>
        <v>#N/A</v>
      </c>
      <c r="F44" s="501" t="n">
        <f aca="false">($B44*$B$7+$C44*$C$7)/100</f>
        <v>0.0365</v>
      </c>
      <c r="G44" s="479" t="str">
        <f aca="false">IF(A44="","",IF(ISERROR(VLOOKUP($A44,'liste reference'!$A$7:$P$904,13,0)),IF(ISERROR(VLOOKUP($A44,'liste reference'!$B$7:$P$904,12,0)),"    -",VLOOKUP($A44,'liste reference'!$B$7:$P$904,12,0)),VLOOKUP($A44,'liste reference'!$A$7:$P$904,13,0)))</f>
        <v>PTE</v>
      </c>
      <c r="H44" s="480" t="n">
        <f aca="false">IF(A44="","x",IF(ISERROR(VLOOKUP($A44,'liste reference'!$A$8:$P$904,14,0)),IF(ISERROR(VLOOKUP($A44,'liste reference'!$B$8:$P$904,13,0)),"x",VLOOKUP($A44,'liste reference'!$B$8:$P$904,13,0)),VLOOKUP($A44,'liste reference'!$A$8:$P$904,14,0)))</f>
        <v>6</v>
      </c>
      <c r="I44" s="481" t="n">
        <f aca="false">IF(ISNUMBER(H44),IF(ISERROR(VLOOKUP($A44,'liste reference'!$A$7:$P$904,3,0)),IF(ISERROR(VLOOKUP($A44,'liste reference'!$B$7:$P$904,2,0)),"",VLOOKUP($A44,'liste reference'!$B$7:$P$904,2,0)),VLOOKUP($A44,'liste reference'!$A$7:$P$904,3,0)),"")</f>
        <v>0</v>
      </c>
      <c r="J44" s="481" t="n">
        <f aca="false">IF(ISNUMBER(H44),IF(ISERROR(VLOOKUP($A44,'liste reference'!$A$7:$P$904,4,0)),IF(ISERROR(VLOOKUP($A44,'liste reference'!$B$7:$P$904,3,0)),"",VLOOKUP($A44,'liste reference'!$B$7:$P$904,3,0)),VLOOKUP($A44,'liste reference'!$A$7:$P$904,4,0)),"")</f>
        <v>0</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Osmunda regalis</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1403</v>
      </c>
      <c r="Q44" s="486" t="n">
        <f aca="false">IF(ISTEXT(H44),"",(B44*$B$7/100)+(C44*$C$7/100))</f>
        <v>0.0365</v>
      </c>
      <c r="R44" s="487" t="n">
        <f aca="false">IF(OR(ISTEXT(H44),Q44=0),"",IF(Q44&lt;0.1,1,IF(Q44&lt;1,2,IF(Q44&lt;10,3,IF(Q44&lt;50,4,IF(Q44&gt;=50,5,""))))))</f>
        <v>1</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OSMREG</v>
      </c>
      <c r="Z44" s="280" t="n">
        <f aca="false">IF(ISERROR(MATCH(A44,'liste reference'!$A$8:$A$904,0)),IF(ISERROR(MATCH(A44,'liste reference'!$B$8:$B$904,0)),"",(MATCH(A44,'liste reference'!$B$8:$B$904,0))),(MATCH(A44,'liste reference'!$A$8:$A$904,0)))</f>
        <v>298</v>
      </c>
      <c r="AA44" s="491"/>
      <c r="AB44" s="492"/>
      <c r="AC44" s="492"/>
      <c r="BB44" s="280" t="n">
        <f aca="false">IF(A44="","",1)</f>
        <v>1</v>
      </c>
    </row>
    <row r="45" customFormat="false" ht="12.75" hidden="false" customHeight="false" outlineLevel="0" collapsed="false">
      <c r="A45" s="493" t="s">
        <v>1446</v>
      </c>
      <c r="B45" s="494" t="n">
        <v>0.005</v>
      </c>
      <c r="C45" s="495"/>
      <c r="D45" s="477" t="str">
        <f aca="false">IF(ISERROR(VLOOKUP($A45,'liste reference'!$A$7:$D$904,2,0)),IF(ISERROR(VLOOKUP($A45,'liste reference'!$B$7:$D$904,1,0)),"",VLOOKUP($A45,'liste reference'!$B$7:$D$904,1,0)),VLOOKUP($A45,'liste reference'!$A$7:$D$904,2,0))</f>
        <v>Potamogeton berchtoldii</v>
      </c>
      <c r="E45" s="496" t="e">
        <f aca="false">IF(D45="",0,VLOOKUP(D45,D$22:D44,1,0))</f>
        <v>#N/A</v>
      </c>
      <c r="F45" s="501" t="n">
        <f aca="false">($B45*$B$7+$C45*$C$7)/100</f>
        <v>0.00365</v>
      </c>
      <c r="G45" s="479" t="str">
        <f aca="false">IF(A45="","",IF(ISERROR(VLOOKUP($A45,'liste reference'!$A$7:$P$904,13,0)),IF(ISERROR(VLOOKUP($A45,'liste reference'!$B$7:$P$904,12,0)),"    -",VLOOKUP($A45,'liste reference'!$B$7:$P$904,12,0)),VLOOKUP($A45,'liste reference'!$A$7:$P$904,13,0)))</f>
        <v>PHy</v>
      </c>
      <c r="H45" s="480" t="n">
        <f aca="false">IF(A45="","x",IF(ISERROR(VLOOKUP($A45,'liste reference'!$A$8:$P$904,14,0)),IF(ISERROR(VLOOKUP($A45,'liste reference'!$B$8:$P$904,13,0)),"x",VLOOKUP($A45,'liste reference'!$B$8:$P$904,13,0)),VLOOKUP($A45,'liste reference'!$A$8:$P$904,14,0)))</f>
        <v>7</v>
      </c>
      <c r="I45" s="481" t="n">
        <f aca="false">IF(ISNUMBER(H45),IF(ISERROR(VLOOKUP($A45,'liste reference'!$A$7:$P$904,3,0)),IF(ISERROR(VLOOKUP($A45,'liste reference'!$B$7:$P$904,2,0)),"",VLOOKUP($A45,'liste reference'!$B$7:$P$904,2,0)),VLOOKUP($A45,'liste reference'!$A$7:$P$904,3,0)),"")</f>
        <v>9</v>
      </c>
      <c r="J45" s="481" t="n">
        <f aca="false">IF(ISNUMBER(H45),IF(ISERROR(VLOOKUP($A45,'liste reference'!$A$7:$P$904,4,0)),IF(ISERROR(VLOOKUP($A45,'liste reference'!$B$7:$P$904,3,0)),"",VLOOKUP($A45,'liste reference'!$B$7:$P$904,3,0)),VLOOKUP($A45,'liste reference'!$A$7:$P$904,4,0)),"")</f>
        <v>2</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Potamogeton berchtoldii</v>
      </c>
      <c r="L45" s="498"/>
      <c r="M45" s="498"/>
      <c r="N45" s="498"/>
      <c r="O45" s="484"/>
      <c r="P45" s="485" t="n">
        <f aca="false">IF($A45="NEWCOD",IF($AC45="","No",$AC45),IF(ISTEXT($E45),"DEJA SAISI !",IF($A45="","",IF(ISERROR(VLOOKUP($A45,'liste reference'!A:S,19,FALSE())),IF(ISERROR(VLOOKUP($A45,'liste reference'!B:S,19,FALSE())),"",VLOOKUP($A45,'liste reference'!B:S,19,FALSE())),VLOOKUP($A45,'liste reference'!A:S,19,FALSE())))))</f>
        <v>1642</v>
      </c>
      <c r="Q45" s="486" t="n">
        <f aca="false">IF(ISTEXT(H45),"",(B45*$B$7/100)+(C45*$C$7/100))</f>
        <v>0.00365</v>
      </c>
      <c r="R45" s="487" t="n">
        <f aca="false">IF(OR(ISTEXT(H45),Q45=0),"",IF(Q45&lt;0.1,1,IF(Q45&lt;1,2,IF(Q45&lt;10,3,IF(Q45&lt;50,4,IF(Q45&gt;=50,5,""))))))</f>
        <v>1</v>
      </c>
      <c r="S45" s="487" t="n">
        <f aca="false">IF(ISERROR(R45*I45),0,R45*I45)</f>
        <v>9</v>
      </c>
      <c r="T45" s="487" t="n">
        <f aca="false">IF(ISERROR(R45*I45*J45),0,R45*I45*J45)</f>
        <v>18</v>
      </c>
      <c r="U45" s="499" t="n">
        <f aca="false">IF(ISERROR(R45*J45),0,R45*J45)</f>
        <v>2</v>
      </c>
      <c r="V45" s="488" t="str">
        <f aca="false">IF(AND(A45="",F45=0),"",IF(F45=0,"Il manque le(s) % de rec. !",""))</f>
        <v/>
      </c>
      <c r="W45" s="489"/>
      <c r="Y45" s="490" t="str">
        <f aca="false">IF(A45="new.cod","NEWCOD",IF(AND((Z45=""),ISTEXT(A45)),A45,IF(Z45="","",INDEX('liste reference'!$A$8:$A$904,Z45))))</f>
        <v>POTBER</v>
      </c>
      <c r="Z45" s="280" t="n">
        <f aca="false">IF(ISERROR(MATCH(A45,'liste reference'!$A$8:$A$904,0)),IF(ISERROR(MATCH(A45,'liste reference'!$B$8:$B$904,0)),"",(MATCH(A45,'liste reference'!$B$8:$B$904,0))),(MATCH(A45,'liste reference'!$A$8:$A$904,0)))</f>
        <v>406</v>
      </c>
      <c r="AA45" s="491"/>
      <c r="AB45" s="492"/>
      <c r="AC45" s="492"/>
      <c r="BB45" s="280" t="n">
        <f aca="false">IF(A45="","",1)</f>
        <v>1</v>
      </c>
    </row>
    <row r="46" customFormat="false" ht="12.75" hidden="false" customHeight="false" outlineLevel="0" collapsed="false">
      <c r="A46" s="493" t="s">
        <v>1913</v>
      </c>
      <c r="B46" s="494" t="n">
        <v>0.005</v>
      </c>
      <c r="C46" s="495"/>
      <c r="D46" s="477" t="str">
        <f aca="false">IF(ISERROR(VLOOKUP($A46,'liste reference'!$A$7:$D$904,2,0)),IF(ISERROR(VLOOKUP($A46,'liste reference'!$B$7:$D$904,1,0)),"",VLOOKUP($A46,'liste reference'!$B$7:$D$904,1,0)),VLOOKUP($A46,'liste reference'!$A$7:$D$904,2,0))</f>
        <v>Lycopus europaeus</v>
      </c>
      <c r="E46" s="496" t="e">
        <f aca="false">IF(D46="",0,VLOOKUP(D46,D$22:D45,1,0))</f>
        <v>#N/A</v>
      </c>
      <c r="F46" s="501" t="n">
        <f aca="false">($B46*$B$7+$C46*$C$7)/100</f>
        <v>0.00365</v>
      </c>
      <c r="G46" s="479" t="str">
        <f aca="false">IF(A46="","",IF(ISERROR(VLOOKUP($A46,'liste reference'!$A$7:$P$904,13,0)),IF(ISERROR(VLOOKUP($A46,'liste reference'!$B$7:$P$904,12,0)),"    -",VLOOKUP($A46,'liste reference'!$B$7:$P$904,12,0)),VLOOKUP($A46,'liste reference'!$A$7:$P$904,13,0)))</f>
        <v>PHe</v>
      </c>
      <c r="H46" s="480" t="n">
        <f aca="false">IF(A46="","x",IF(ISERROR(VLOOKUP($A46,'liste reference'!$A$8:$P$904,14,0)),IF(ISERROR(VLOOKUP($A46,'liste reference'!$B$8:$P$904,13,0)),"x",VLOOKUP($A46,'liste reference'!$B$8:$P$904,13,0)),VLOOKUP($A46,'liste reference'!$A$8:$P$904,14,0)))</f>
        <v>8</v>
      </c>
      <c r="I46" s="481" t="n">
        <f aca="false">IF(ISNUMBER(H46),IF(ISERROR(VLOOKUP($A46,'liste reference'!$A$7:$P$904,3,0)),IF(ISERROR(VLOOKUP($A46,'liste reference'!$B$7:$P$904,2,0)),"",VLOOKUP($A46,'liste reference'!$B$7:$P$904,2,0)),VLOOKUP($A46,'liste reference'!$A$7:$P$904,3,0)),"")</f>
        <v>11</v>
      </c>
      <c r="J46" s="481" t="n">
        <f aca="false">IF(ISNUMBER(H46),IF(ISERROR(VLOOKUP($A46,'liste reference'!$A$7:$P$904,4,0)),IF(ISERROR(VLOOKUP($A46,'liste reference'!$B$7:$P$904,3,0)),"",VLOOKUP($A46,'liste reference'!$B$7:$P$904,3,0)),VLOOKUP($A46,'liste reference'!$A$7:$P$904,4,0)),"")</f>
        <v>1</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Lycopus europaeus</v>
      </c>
      <c r="L46" s="498"/>
      <c r="M46" s="498"/>
      <c r="N46" s="498"/>
      <c r="O46" s="484"/>
      <c r="P46" s="485" t="n">
        <f aca="false">IF($A46="NEWCOD",IF($AC46="","No",$AC46),IF(ISTEXT($E46),"DEJA SAISI !",IF($A46="","",IF(ISERROR(VLOOKUP($A46,'liste reference'!A:S,19,FALSE())),IF(ISERROR(VLOOKUP($A46,'liste reference'!B:S,19,FALSE())),"",VLOOKUP($A46,'liste reference'!B:S,19,FALSE())),VLOOKUP($A46,'liste reference'!A:S,19,FALSE())))))</f>
        <v>1789</v>
      </c>
      <c r="Q46" s="486" t="n">
        <f aca="false">IF(ISTEXT(H46),"",(B46*$B$7/100)+(C46*$C$7/100))</f>
        <v>0.00365</v>
      </c>
      <c r="R46" s="487" t="n">
        <f aca="false">IF(OR(ISTEXT(H46),Q46=0),"",IF(Q46&lt;0.1,1,IF(Q46&lt;1,2,IF(Q46&lt;10,3,IF(Q46&lt;50,4,IF(Q46&gt;=50,5,""))))))</f>
        <v>1</v>
      </c>
      <c r="S46" s="487" t="n">
        <f aca="false">IF(ISERROR(R46*I46),0,R46*I46)</f>
        <v>11</v>
      </c>
      <c r="T46" s="487" t="n">
        <f aca="false">IF(ISERROR(R46*I46*J46),0,R46*I46*J46)</f>
        <v>11</v>
      </c>
      <c r="U46" s="499" t="n">
        <f aca="false">IF(ISERROR(R46*J46),0,R46*J46)</f>
        <v>1</v>
      </c>
      <c r="V46" s="488" t="str">
        <f aca="false">IF(AND(A46="",F46=0),"",IF(F46=0,"Il manque le(s) % de rec. !",""))</f>
        <v/>
      </c>
      <c r="W46" s="489"/>
      <c r="Y46" s="490" t="str">
        <f aca="false">IF(A46="new.cod","NEWCOD",IF(AND((Z46=""),ISTEXT(A46)),A46,IF(Z46="","",INDEX('liste reference'!$A$8:$A$904,Z46))))</f>
        <v>LYCEUR</v>
      </c>
      <c r="Z46" s="280" t="n">
        <f aca="false">IF(ISERROR(MATCH(A46,'liste reference'!$A$8:$A$904,0)),IF(ISERROR(MATCH(A46,'liste reference'!$B$8:$B$904,0)),"",(MATCH(A46,'liste reference'!$B$8:$B$904,0))),(MATCH(A46,'liste reference'!$A$8:$A$904,0)))</f>
        <v>596</v>
      </c>
      <c r="AA46" s="491"/>
      <c r="AB46" s="492"/>
      <c r="AC46" s="492"/>
      <c r="BB46" s="280" t="n">
        <f aca="false">IF(A46="","",1)</f>
        <v>1</v>
      </c>
    </row>
    <row r="47" customFormat="false" ht="12.75" hidden="false" customHeight="false" outlineLevel="0" collapsed="false">
      <c r="A47" s="493" t="s">
        <v>1936</v>
      </c>
      <c r="B47" s="494" t="n">
        <v>0.005</v>
      </c>
      <c r="C47" s="495" t="n">
        <v>0.005</v>
      </c>
      <c r="D47" s="477" t="str">
        <f aca="false">IF(ISERROR(VLOOKUP($A47,'liste reference'!$A$7:$D$904,2,0)),IF(ISERROR(VLOOKUP($A47,'liste reference'!$B$7:$D$904,1,0)),"",VLOOKUP($A47,'liste reference'!$B$7:$D$904,1,0)),VLOOKUP($A47,'liste reference'!$A$7:$D$904,2,0))</f>
        <v>Mentha aquatica</v>
      </c>
      <c r="E47" s="496" t="e">
        <f aca="false">IF(D47="",0,VLOOKUP(D47,D$22:D46,1,0))</f>
        <v>#N/A</v>
      </c>
      <c r="F47" s="501" t="n">
        <f aca="false">($B47*$B$7+$C47*$C$7)/100</f>
        <v>0.005</v>
      </c>
      <c r="G47" s="479" t="str">
        <f aca="false">IF(A47="","",IF(ISERROR(VLOOKUP($A47,'liste reference'!$A$7:$P$904,13,0)),IF(ISERROR(VLOOKUP($A47,'liste reference'!$B$7:$P$904,12,0)),"    -",VLOOKUP($A47,'liste reference'!$B$7:$P$904,12,0)),VLOOKUP($A47,'liste reference'!$A$7:$P$904,13,0)))</f>
        <v>PHe</v>
      </c>
      <c r="H47" s="480" t="n">
        <f aca="false">IF(A47="","x",IF(ISERROR(VLOOKUP($A47,'liste reference'!$A$8:$P$904,14,0)),IF(ISERROR(VLOOKUP($A47,'liste reference'!$B$8:$P$904,13,0)),"x",VLOOKUP($A47,'liste reference'!$B$8:$P$904,13,0)),VLOOKUP($A47,'liste reference'!$A$8:$P$904,14,0)))</f>
        <v>8</v>
      </c>
      <c r="I47" s="481" t="n">
        <f aca="false">IF(ISNUMBER(H47),IF(ISERROR(VLOOKUP($A47,'liste reference'!$A$7:$P$904,3,0)),IF(ISERROR(VLOOKUP($A47,'liste reference'!$B$7:$P$904,2,0)),"",VLOOKUP($A47,'liste reference'!$B$7:$P$904,2,0)),VLOOKUP($A47,'liste reference'!$A$7:$P$904,3,0)),"")</f>
        <v>12</v>
      </c>
      <c r="J47" s="481" t="n">
        <f aca="false">IF(ISNUMBER(H47),IF(ISERROR(VLOOKUP($A47,'liste reference'!$A$7:$P$904,4,0)),IF(ISERROR(VLOOKUP($A47,'liste reference'!$B$7:$P$904,3,0)),"",VLOOKUP($A47,'liste reference'!$B$7:$P$904,3,0)),VLOOKUP($A47,'liste reference'!$A$7:$P$904,4,0)),"")</f>
        <v>1</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Mentha aquatica</v>
      </c>
      <c r="L47" s="498"/>
      <c r="M47" s="498"/>
      <c r="N47" s="498"/>
      <c r="O47" s="484"/>
      <c r="P47" s="485" t="n">
        <f aca="false">IF($A47="NEWCOD",IF($AC47="","No",$AC47),IF(ISTEXT($E47),"DEJA SAISI !",IF($A47="","",IF(ISERROR(VLOOKUP($A47,'liste reference'!A:S,19,FALSE())),IF(ISERROR(VLOOKUP($A47,'liste reference'!B:S,19,FALSE())),"",VLOOKUP($A47,'liste reference'!B:S,19,FALSE())),VLOOKUP($A47,'liste reference'!A:S,19,FALSE())))))</f>
        <v>1791</v>
      </c>
      <c r="Q47" s="486" t="n">
        <f aca="false">IF(ISTEXT(H47),"",(B47*$B$7/100)+(C47*$C$7/100))</f>
        <v>0.005</v>
      </c>
      <c r="R47" s="487" t="n">
        <f aca="false">IF(OR(ISTEXT(H47),Q47=0),"",IF(Q47&lt;0.1,1,IF(Q47&lt;1,2,IF(Q47&lt;10,3,IF(Q47&lt;50,4,IF(Q47&gt;=50,5,""))))))</f>
        <v>1</v>
      </c>
      <c r="S47" s="487" t="n">
        <f aca="false">IF(ISERROR(R47*I47),0,R47*I47)</f>
        <v>12</v>
      </c>
      <c r="T47" s="487" t="n">
        <f aca="false">IF(ISERROR(R47*I47*J47),0,R47*I47*J47)</f>
        <v>12</v>
      </c>
      <c r="U47" s="499" t="n">
        <f aca="false">IF(ISERROR(R47*J47),0,R47*J47)</f>
        <v>1</v>
      </c>
      <c r="V47" s="488" t="str">
        <f aca="false">IF(AND(A47="",F47=0),"",IF(F47=0,"Il manque le(s) % de rec. !",""))</f>
        <v/>
      </c>
      <c r="W47" s="489"/>
      <c r="Y47" s="490" t="str">
        <f aca="false">IF(A47="new.cod","NEWCOD",IF(AND((Z47=""),ISTEXT(A47)),A47,IF(Z47="","",INDEX('liste reference'!$A$8:$A$904,Z47))))</f>
        <v>MENAQU</v>
      </c>
      <c r="Z47" s="280" t="n">
        <f aca="false">IF(ISERROR(MATCH(A47,'liste reference'!$A$8:$A$904,0)),IF(ISERROR(MATCH(A47,'liste reference'!$B$8:$B$904,0)),"",(MATCH(A47,'liste reference'!$B$8:$B$904,0))),(MATCH(A47,'liste reference'!$A$8:$A$904,0)))</f>
        <v>607</v>
      </c>
      <c r="AA47" s="491"/>
      <c r="AB47" s="492"/>
      <c r="AC47" s="492"/>
      <c r="BB47" s="280" t="n">
        <f aca="false">IF(A47="","",1)</f>
        <v>1</v>
      </c>
    </row>
    <row r="48" customFormat="false" ht="12.75" hidden="false" customHeight="false" outlineLevel="0" collapsed="false">
      <c r="A48" s="493" t="s">
        <v>1991</v>
      </c>
      <c r="B48" s="494" t="n">
        <v>0.005</v>
      </c>
      <c r="C48" s="495"/>
      <c r="D48" s="477" t="str">
        <f aca="false">IF(ISERROR(VLOOKUP($A48,'liste reference'!$A$7:$D$904,2,0)),IF(ISERROR(VLOOKUP($A48,'liste reference'!$B$7:$D$904,1,0)),"",VLOOKUP($A48,'liste reference'!$B$7:$D$904,1,0)),VLOOKUP($A48,'liste reference'!$A$7:$D$904,2,0))</f>
        <v>Oenanthe crocata</v>
      </c>
      <c r="E48" s="496" t="e">
        <f aca="false">IF(D48="",0,VLOOKUP(D48,D$22:D47,1,0))</f>
        <v>#N/A</v>
      </c>
      <c r="F48" s="501" t="n">
        <f aca="false">($B48*$B$7+$C48*$C$7)/100</f>
        <v>0.00365</v>
      </c>
      <c r="G48" s="479" t="str">
        <f aca="false">IF(A48="","",IF(ISERROR(VLOOKUP($A48,'liste reference'!$A$7:$P$904,13,0)),IF(ISERROR(VLOOKUP($A48,'liste reference'!$B$7:$P$904,12,0)),"    -",VLOOKUP($A48,'liste reference'!$B$7:$P$904,12,0)),VLOOKUP($A48,'liste reference'!$A$7:$P$904,13,0)))</f>
        <v>PHe</v>
      </c>
      <c r="H48" s="480" t="n">
        <f aca="false">IF(A48="","x",IF(ISERROR(VLOOKUP($A48,'liste reference'!$A$8:$P$904,14,0)),IF(ISERROR(VLOOKUP($A48,'liste reference'!$B$8:$P$904,13,0)),"x",VLOOKUP($A48,'liste reference'!$B$8:$P$904,13,0)),VLOOKUP($A48,'liste reference'!$A$8:$P$904,14,0)))</f>
        <v>8</v>
      </c>
      <c r="I48" s="481" t="n">
        <f aca="false">IF(ISNUMBER(H48),IF(ISERROR(VLOOKUP($A48,'liste reference'!$A$7:$P$904,3,0)),IF(ISERROR(VLOOKUP($A48,'liste reference'!$B$7:$P$904,2,0)),"",VLOOKUP($A48,'liste reference'!$B$7:$P$904,2,0)),VLOOKUP($A48,'liste reference'!$A$7:$P$904,3,0)),"")</f>
        <v>12</v>
      </c>
      <c r="J48" s="481" t="n">
        <f aca="false">IF(ISNUMBER(H48),IF(ISERROR(VLOOKUP($A48,'liste reference'!$A$7:$P$904,4,0)),IF(ISERROR(VLOOKUP($A48,'liste reference'!$B$7:$P$904,3,0)),"",VLOOKUP($A48,'liste reference'!$B$7:$P$904,3,0)),VLOOKUP($A48,'liste reference'!$A$7:$P$904,4,0)),"")</f>
        <v>2</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Oenanthe crocata</v>
      </c>
      <c r="L48" s="498"/>
      <c r="M48" s="498"/>
      <c r="N48" s="498"/>
      <c r="O48" s="484"/>
      <c r="P48" s="485" t="n">
        <f aca="false">IF($A48="NEWCOD",IF($AC48="","No",$AC48),IF(ISTEXT($E48),"DEJA SAISI !",IF($A48="","",IF(ISERROR(VLOOKUP($A48,'liste reference'!A:S,19,FALSE())),IF(ISERROR(VLOOKUP($A48,'liste reference'!B:S,19,FALSE())),"",VLOOKUP($A48,'liste reference'!B:S,19,FALSE())),VLOOKUP($A48,'liste reference'!A:S,19,FALSE())))))</f>
        <v>1986</v>
      </c>
      <c r="Q48" s="486" t="n">
        <f aca="false">IF(ISTEXT(H48),"",(B48*$B$7/100)+(C48*$C$7/100))</f>
        <v>0.00365</v>
      </c>
      <c r="R48" s="487" t="n">
        <f aca="false">IF(OR(ISTEXT(H48),Q48=0),"",IF(Q48&lt;0.1,1,IF(Q48&lt;1,2,IF(Q48&lt;10,3,IF(Q48&lt;50,4,IF(Q48&gt;=50,5,""))))))</f>
        <v>1</v>
      </c>
      <c r="S48" s="487" t="n">
        <f aca="false">IF(ISERROR(R48*I48),0,R48*I48)</f>
        <v>12</v>
      </c>
      <c r="T48" s="487" t="n">
        <f aca="false">IF(ISERROR(R48*I48*J48),0,R48*I48*J48)</f>
        <v>24</v>
      </c>
      <c r="U48" s="499" t="n">
        <f aca="false">IF(ISERROR(R48*J48),0,R48*J48)</f>
        <v>2</v>
      </c>
      <c r="V48" s="488" t="str">
        <f aca="false">IF(AND(A48="",F48=0),"",IF(F48=0,"Il manque le(s) % de rec. !",""))</f>
        <v/>
      </c>
      <c r="W48" s="489"/>
      <c r="Y48" s="490" t="str">
        <f aca="false">IF(A48="new.cod","NEWCOD",IF(AND((Z48=""),ISTEXT(A48)),A48,IF(Z48="","",INDEX('liste reference'!$A$8:$A$904,Z48))))</f>
        <v>OENCRO</v>
      </c>
      <c r="Z48" s="280" t="n">
        <f aca="false">IF(ISERROR(MATCH(A48,'liste reference'!$A$8:$A$904,0)),IF(ISERROR(MATCH(A48,'liste reference'!$B$8:$B$904,0)),"",(MATCH(A48,'liste reference'!$B$8:$B$904,0))),(MATCH(A48,'liste reference'!$A$8:$A$904,0)))</f>
        <v>630</v>
      </c>
      <c r="AA48" s="491"/>
      <c r="AB48" s="492"/>
      <c r="AC48" s="492"/>
      <c r="BB48" s="280" t="n">
        <f aca="false">IF(A48="","",1)</f>
        <v>1</v>
      </c>
    </row>
    <row r="49" customFormat="false" ht="12.75" hidden="false" customHeight="false" outlineLevel="0" collapsed="false">
      <c r="A49" s="493" t="s">
        <v>2107</v>
      </c>
      <c r="B49" s="494" t="n">
        <v>0.005</v>
      </c>
      <c r="C49" s="495" t="n">
        <v>0.001</v>
      </c>
      <c r="D49" s="477" t="str">
        <f aca="false">IF(ISERROR(VLOOKUP($A49,'liste reference'!$A$7:$D$904,2,0)),IF(ISERROR(VLOOKUP($A49,'liste reference'!$B$7:$D$904,1,0)),"",VLOOKUP($A49,'liste reference'!$B$7:$D$904,1,0)),VLOOKUP($A49,'liste reference'!$A$7:$D$904,2,0))</f>
        <v>Typha sp.</v>
      </c>
      <c r="E49" s="496" t="e">
        <f aca="false">IF(D49="",0,VLOOKUP(D49,D$22:D48,1,0))</f>
        <v>#N/A</v>
      </c>
      <c r="F49" s="501" t="n">
        <f aca="false">($B49*$B$7+$C49*$C$7)/100</f>
        <v>0.00392</v>
      </c>
      <c r="G49" s="479" t="str">
        <f aca="false">IF(A49="","",IF(ISERROR(VLOOKUP($A49,'liste reference'!$A$7:$P$904,13,0)),IF(ISERROR(VLOOKUP($A49,'liste reference'!$B$7:$P$904,12,0)),"    -",VLOOKUP($A49,'liste reference'!$B$7:$P$904,12,0)),VLOOKUP($A49,'liste reference'!$A$7:$P$904,13,0)))</f>
        <v>PHe</v>
      </c>
      <c r="H49" s="480" t="n">
        <f aca="false">IF(A49="","x",IF(ISERROR(VLOOKUP($A49,'liste reference'!$A$8:$P$904,14,0)),IF(ISERROR(VLOOKUP($A49,'liste reference'!$B$8:$P$904,13,0)),"x",VLOOKUP($A49,'liste reference'!$B$8:$P$904,13,0)),VLOOKUP($A49,'liste reference'!$A$8:$P$904,14,0)))</f>
        <v>8</v>
      </c>
      <c r="I49" s="481" t="n">
        <f aca="false">IF(ISNUMBER(H49),IF(ISERROR(VLOOKUP($A49,'liste reference'!$A$7:$P$904,3,0)),IF(ISERROR(VLOOKUP($A49,'liste reference'!$B$7:$P$904,2,0)),"",VLOOKUP($A49,'liste reference'!$B$7:$P$904,2,0)),VLOOKUP($A49,'liste reference'!$A$7:$P$904,3,0)),"")</f>
        <v>0</v>
      </c>
      <c r="J49" s="481" t="n">
        <f aca="false">IF(ISNUMBER(H49),IF(ISERROR(VLOOKUP($A49,'liste reference'!$A$7:$P$904,4,0)),IF(ISERROR(VLOOKUP($A49,'liste reference'!$B$7:$P$904,3,0)),"",VLOOKUP($A49,'liste reference'!$B$7:$P$904,3,0)),VLOOKUP($A49,'liste reference'!$A$7:$P$904,4,0)),"")</f>
        <v>0</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Typha sp.</v>
      </c>
      <c r="L49" s="498"/>
      <c r="M49" s="498"/>
      <c r="N49" s="498"/>
      <c r="O49" s="484"/>
      <c r="P49" s="485" t="n">
        <f aca="false">IF($A49="NEWCOD",IF($AC49="","No",$AC49),IF(ISTEXT($E49),"DEJA SAISI !",IF($A49="","",IF(ISERROR(VLOOKUP($A49,'liste reference'!A:S,19,FALSE())),IF(ISERROR(VLOOKUP($A49,'liste reference'!B:S,19,FALSE())),"",VLOOKUP($A49,'liste reference'!B:S,19,FALSE())),VLOOKUP($A49,'liste reference'!A:S,19,FALSE())))))</f>
        <v>1674</v>
      </c>
      <c r="Q49" s="486" t="n">
        <f aca="false">IF(ISTEXT(H49),"",(B49*$B$7/100)+(C49*$C$7/100))</f>
        <v>0.00392</v>
      </c>
      <c r="R49" s="487" t="n">
        <f aca="false">IF(OR(ISTEXT(H49),Q49=0),"",IF(Q49&lt;0.1,1,IF(Q49&lt;1,2,IF(Q49&lt;10,3,IF(Q49&lt;50,4,IF(Q49&gt;=50,5,""))))))</f>
        <v>1</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TYPSPX</v>
      </c>
      <c r="Z49" s="280" t="n">
        <f aca="false">IF(ISERROR(MATCH(A49,'liste reference'!$A$8:$A$904,0)),IF(ISERROR(MATCH(A49,'liste reference'!$B$8:$B$904,0)),"",(MATCH(A49,'liste reference'!$B$8:$B$904,0))),(MATCH(A49,'liste reference'!$A$8:$A$904,0)))</f>
        <v>681</v>
      </c>
      <c r="AA49" s="491"/>
      <c r="AB49" s="492"/>
      <c r="AC49" s="492"/>
      <c r="BB49" s="280" t="n">
        <f aca="false">IF(A49="","",1)</f>
        <v>1</v>
      </c>
    </row>
    <row r="50" customFormat="false" ht="12.75" hidden="false" customHeight="false" outlineLevel="0" collapsed="false">
      <c r="A50" s="493" t="s">
        <v>2204</v>
      </c>
      <c r="B50" s="494" t="n">
        <v>0.005</v>
      </c>
      <c r="C50" s="495" t="n">
        <v>0.005</v>
      </c>
      <c r="D50" s="477" t="str">
        <f aca="false">IF(ISERROR(VLOOKUP($A50,'liste reference'!$A$7:$D$904,2,0)),IF(ISERROR(VLOOKUP($A50,'liste reference'!$B$7:$D$904,1,0)),"",VLOOKUP($A50,'liste reference'!$B$7:$D$904,1,0)),VLOOKUP($A50,'liste reference'!$A$7:$D$904,2,0))</f>
        <v>Cyperus longus</v>
      </c>
      <c r="E50" s="496" t="e">
        <f aca="false">IF(D50="",0,VLOOKUP(D50,D$22:D49,1,0))</f>
        <v>#N/A</v>
      </c>
      <c r="F50" s="501" t="n">
        <f aca="false">($B50*$B$7+$C50*$C$7)/100</f>
        <v>0.005</v>
      </c>
      <c r="G50" s="479" t="str">
        <f aca="false">IF(A50="","",IF(ISERROR(VLOOKUP($A50,'liste reference'!$A$7:$P$904,13,0)),IF(ISERROR(VLOOKUP($A50,'liste reference'!$B$7:$P$904,12,0)),"    -",VLOOKUP($A50,'liste reference'!$B$7:$P$904,12,0)),VLOOKUP($A50,'liste reference'!$A$7:$P$904,13,0)))</f>
        <v>PHg</v>
      </c>
      <c r="H50" s="480" t="n">
        <f aca="false">IF(A50="","x",IF(ISERROR(VLOOKUP($A50,'liste reference'!$A$8:$P$904,14,0)),IF(ISERROR(VLOOKUP($A50,'liste reference'!$B$8:$P$904,13,0)),"x",VLOOKUP($A50,'liste reference'!$B$8:$P$904,13,0)),VLOOKUP($A50,'liste reference'!$A$8:$P$904,14,0)))</f>
        <v>9</v>
      </c>
      <c r="I50" s="481" t="n">
        <f aca="false">IF(ISNUMBER(H50),IF(ISERROR(VLOOKUP($A50,'liste reference'!$A$7:$P$904,3,0)),IF(ISERROR(VLOOKUP($A50,'liste reference'!$B$7:$P$904,2,0)),"",VLOOKUP($A50,'liste reference'!$B$7:$P$904,2,0)),VLOOKUP($A50,'liste reference'!$A$7:$P$904,3,0)),"")</f>
        <v>0</v>
      </c>
      <c r="J50" s="481" t="n">
        <f aca="false">IF(ISNUMBER(H50),IF(ISERROR(VLOOKUP($A50,'liste reference'!$A$7:$P$904,4,0)),IF(ISERROR(VLOOKUP($A50,'liste reference'!$B$7:$P$904,3,0)),"",VLOOKUP($A50,'liste reference'!$B$7:$P$904,3,0)),VLOOKUP($A50,'liste reference'!$A$7:$P$904,4,0)),"")</f>
        <v>0</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Cyperus longus</v>
      </c>
      <c r="L50" s="498"/>
      <c r="M50" s="498"/>
      <c r="N50" s="498"/>
      <c r="O50" s="484"/>
      <c r="P50" s="485" t="n">
        <f aca="false">IF($A50="NEWCOD",IF($AC50="","No",$AC50),IF(ISTEXT($E50),"DEJA SAISI !",IF($A50="","",IF(ISERROR(VLOOKUP($A50,'liste reference'!A:S,19,FALSE())),IF(ISERROR(VLOOKUP($A50,'liste reference'!B:S,19,FALSE())),"",VLOOKUP($A50,'liste reference'!B:S,19,FALSE())),VLOOKUP($A50,'liste reference'!A:S,19,FALSE())))))</f>
        <v>1500</v>
      </c>
      <c r="Q50" s="486" t="n">
        <f aca="false">IF(ISTEXT(H50),"",(B50*$B$7/100)+(C50*$C$7/100))</f>
        <v>0.005</v>
      </c>
      <c r="R50" s="487" t="n">
        <f aca="false">IF(OR(ISTEXT(H50),Q50=0),"",IF(Q50&lt;0.1,1,IF(Q50&lt;1,2,IF(Q50&lt;10,3,IF(Q50&lt;50,4,IF(Q50&gt;=50,5,""))))))</f>
        <v>1</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CYPLON</v>
      </c>
      <c r="Z50" s="280" t="n">
        <f aca="false">IF(ISERROR(MATCH(A50,'liste reference'!$A$8:$A$904,0)),IF(ISERROR(MATCH(A50,'liste reference'!$B$8:$B$904,0)),"",(MATCH(A50,'liste reference'!$B$8:$B$904,0))),(MATCH(A50,'liste reference'!$A$8:$A$904,0)))</f>
        <v>724</v>
      </c>
      <c r="AA50" s="491"/>
      <c r="AB50" s="492"/>
      <c r="AC50" s="492"/>
      <c r="BB50" s="280" t="n">
        <f aca="false">IF(A50="","",1)</f>
        <v>1</v>
      </c>
    </row>
    <row r="51" customFormat="false" ht="12.75" hidden="false" customHeight="false" outlineLevel="0" collapsed="false">
      <c r="A51" s="493" t="s">
        <v>2687</v>
      </c>
      <c r="B51" s="494" t="n">
        <v>0.005</v>
      </c>
      <c r="C51" s="495" t="n">
        <v>0.005</v>
      </c>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0.005</v>
      </c>
      <c r="G51" s="479" t="str">
        <f aca="false">IF(A51="","",IF(ISERROR(VLOOKUP($A51,'liste reference'!$A$7:$P$904,13,0)),IF(ISERROR(VLOOKUP($A51,'liste reference'!$B$7:$P$904,12,0)),"    -",VLOOKUP($A51,'liste reference'!$B$7:$P$904,12,0)),VLOOKUP($A51,'liste reference'!$A$7:$P$904,13,0)))</f>
        <v>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Paspalum sp.</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No</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X51" s="489"/>
      <c r="Y51" s="490" t="str">
        <f aca="false">IF(A51="new.cod","NEWCOD",IF(AND((Z51=""),ISTEXT(A51)),A51,IF(Z51="","",INDEX('liste reference'!$A$8:$A$904,Z51))))</f>
        <v>NEWCOD</v>
      </c>
      <c r="Z51" s="280" t="str">
        <f aca="false">IF(ISERROR(MATCH(A51,'liste reference'!$A$8:$A$904,0)),IF(ISERROR(MATCH(A51,'liste reference'!$B$8:$B$904,0)),"",(MATCH(A51,'liste reference'!$B$8:$B$904,0))),(MATCH(A51,'liste reference'!$A$8:$A$904,0)))</f>
        <v/>
      </c>
      <c r="AA51" s="491"/>
      <c r="AB51" s="492" t="s">
        <v>2688</v>
      </c>
      <c r="AC51" s="492"/>
      <c r="BB51" s="280" t="n">
        <f aca="false">IF(A51="","",1)</f>
        <v>1</v>
      </c>
    </row>
    <row r="52" customFormat="false" ht="12.75" hidden="false" customHeight="false" outlineLevel="0" collapsed="false">
      <c r="A52" s="493" t="s">
        <v>2687</v>
      </c>
      <c r="B52" s="494" t="n">
        <v>0.01</v>
      </c>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0.0073</v>
      </c>
      <c r="G52" s="479" t="str">
        <f aca="false">IF(A52="","",IF(ISERROR(VLOOKUP($A52,'liste reference'!$A$7:$P$904,13,0)),IF(ISERROR(VLOOKUP($A52,'liste reference'!$B$7:$P$904,12,0)),"    -",VLOOKUP($A52,'liste reference'!$B$7:$P$904,12,0)),VLOOKUP($A52,'liste reference'!$A$7:$P$904,13,0)))</f>
        <v>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Gomphoneis sp.</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No</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NEWCOD</v>
      </c>
      <c r="Z52" s="280" t="str">
        <f aca="false">IF(ISERROR(MATCH(A52,'liste reference'!$A$8:$A$904,0)),IF(ISERROR(MATCH(A52,'liste reference'!$B$8:$B$904,0)),"",(MATCH(A52,'liste reference'!$B$8:$B$904,0))),(MATCH(A52,'liste reference'!$A$8:$A$904,0)))</f>
        <v/>
      </c>
      <c r="AA52" s="491"/>
      <c r="AB52" s="492" t="s">
        <v>2689</v>
      </c>
      <c r="AC52" s="492"/>
      <c r="BB52" s="280" t="n">
        <f aca="false">IF(A52="","",1)</f>
        <v>1</v>
      </c>
    </row>
    <row r="53" customFormat="false" ht="12.75" hidden="false" customHeight="false" outlineLevel="0" collapsed="false">
      <c r="A53" s="493" t="s">
        <v>2687</v>
      </c>
      <c r="B53" s="494" t="n">
        <v>0.005</v>
      </c>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0.00365</v>
      </c>
      <c r="G53" s="479" t="str">
        <f aca="false">IF(A53="","",IF(ISERROR(VLOOKUP($A53,'liste reference'!$A$7:$P$904,13,0)),IF(ISERROR(VLOOKUP($A53,'liste reference'!$B$7:$P$904,12,0)),"    -",VLOOKUP($A53,'liste reference'!$B$7:$P$904,12,0)),VLOOKUP($A53,'liste reference'!$A$7:$P$904,13,0)))</f>
        <v>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Coleochaete sp.</v>
      </c>
      <c r="L53" s="498"/>
      <c r="M53" s="498"/>
      <c r="N53" s="498"/>
      <c r="O53" s="484" t="s">
        <v>2686</v>
      </c>
      <c r="P53" s="485" t="str">
        <f aca="false">IF($A53="NEWCOD",IF($AC53="","No",$AC53),IF(ISTEXT($E53),"DEJA SAISI !",IF($A53="","",IF(ISERROR(VLOOKUP($A53,'liste reference'!A:S,19,FALSE())),IF(ISERROR(VLOOKUP($A53,'liste reference'!B:S,19,FALSE())),"",VLOOKUP($A53,'liste reference'!B:S,19,FALSE())),VLOOKUP($A53,'liste reference'!A:S,19,FALSE())))))</f>
        <v>No</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NEWCOD</v>
      </c>
      <c r="Z53" s="280" t="str">
        <f aca="false">IF(ISERROR(MATCH(A53,'liste reference'!$A$8:$A$904,0)),IF(ISERROR(MATCH(A53,'liste reference'!$B$8:$B$904,0)),"",(MATCH(A53,'liste reference'!$B$8:$B$904,0))),(MATCH(A53,'liste reference'!$A$8:$A$904,0)))</f>
        <v/>
      </c>
      <c r="AA53" s="491" t="s">
        <v>2686</v>
      </c>
      <c r="AB53" s="492" t="s">
        <v>2690</v>
      </c>
      <c r="AC53" s="492"/>
      <c r="BB53" s="280" t="n">
        <f aca="false">IF(A53="","",1)</f>
        <v>1</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Golo</v>
      </c>
      <c r="B84" s="529" t="str">
        <f aca="false">C3</f>
        <v>Campile</v>
      </c>
      <c r="C84" s="530" t="n">
        <f aca="false">A4</f>
        <v>41821</v>
      </c>
      <c r="D84" s="531" t="n">
        <f aca="false">IF(ISERROR(SUM($T$23:$T$82)/SUM($U$23:$U$82)),"",SUM($T$23:$T$82)/SUM($U$23:$U$82))</f>
        <v>11.4761904761905</v>
      </c>
      <c r="E84" s="532" t="n">
        <f aca="false">N13</f>
        <v>31</v>
      </c>
      <c r="F84" s="529" t="n">
        <f aca="false">N14</f>
        <v>28</v>
      </c>
      <c r="G84" s="529" t="n">
        <f aca="false">N15</f>
        <v>7</v>
      </c>
      <c r="H84" s="529" t="n">
        <f aca="false">N16</f>
        <v>12</v>
      </c>
      <c r="I84" s="529" t="n">
        <f aca="false">N17</f>
        <v>2</v>
      </c>
      <c r="J84" s="533" t="n">
        <f aca="false">N8</f>
        <v>8.57142857142857</v>
      </c>
      <c r="K84" s="531" t="n">
        <f aca="false">N9</f>
        <v>5.59609922451454</v>
      </c>
      <c r="L84" s="532" t="n">
        <f aca="false">N10</f>
        <v>0</v>
      </c>
      <c r="M84" s="532" t="n">
        <f aca="false">N11</f>
        <v>16</v>
      </c>
      <c r="N84" s="531" t="n">
        <f aca="false">O8</f>
        <v>1.32142857142857</v>
      </c>
      <c r="O84" s="531" t="n">
        <f aca="false">O9</f>
        <v>0.927884361197613</v>
      </c>
      <c r="P84" s="532" t="n">
        <f aca="false">O10</f>
        <v>0</v>
      </c>
      <c r="Q84" s="532" t="n">
        <f aca="false">O11</f>
        <v>3</v>
      </c>
      <c r="R84" s="532" t="n">
        <f aca="false">F21</f>
        <v>2.34402</v>
      </c>
      <c r="S84" s="532" t="n">
        <f aca="false">K11</f>
        <v>0</v>
      </c>
      <c r="T84" s="532" t="n">
        <f aca="false">K12</f>
        <v>13</v>
      </c>
      <c r="U84" s="532" t="n">
        <f aca="false">K13</f>
        <v>7</v>
      </c>
      <c r="V84" s="534" t="n">
        <f aca="false">K14</f>
        <v>2</v>
      </c>
      <c r="W84" s="535" t="n">
        <f aca="false">K15</f>
        <v>6</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24</v>
      </c>
      <c r="T87" s="280"/>
      <c r="U87" s="280"/>
      <c r="V87" s="280"/>
    </row>
    <row r="88" customFormat="false" ht="12.75" hidden="true" customHeight="false" outlineLevel="0" collapsed="false">
      <c r="P88" s="280"/>
      <c r="Q88" s="280" t="s">
        <v>2694</v>
      </c>
      <c r="R88" s="280"/>
      <c r="S88" s="488" t="n">
        <f aca="false">VLOOKUP((S87),($S$23:$U$82),2,0)</f>
        <v>48</v>
      </c>
      <c r="T88" s="280"/>
      <c r="U88" s="280"/>
      <c r="V88" s="280"/>
    </row>
    <row r="89" customFormat="false" ht="12.75" hidden="true" customHeight="false" outlineLevel="0" collapsed="false">
      <c r="Q89" s="280" t="s">
        <v>2695</v>
      </c>
      <c r="R89" s="280"/>
      <c r="S89" s="488" t="n">
        <f aca="false">VLOOKUP((S87),($S$23:$U$82),3,0)</f>
        <v>4</v>
      </c>
      <c r="T89" s="280"/>
    </row>
    <row r="90" customFormat="false" ht="12.75" hidden="false" customHeight="false" outlineLevel="0" collapsed="false">
      <c r="Q90" s="280" t="s">
        <v>2696</v>
      </c>
      <c r="R90" s="280"/>
      <c r="S90" s="538" t="n">
        <f aca="false">IF(ISERROR(SUM($T$23:$T$82)/SUM($U$23:$U$82)),"",(SUM($T$23:$T$82)-S88)/(SUM($U$23:$U$82)-S89))</f>
        <v>11.4210526315789</v>
      </c>
      <c r="T90" s="280"/>
    </row>
    <row r="91" customFormat="false" ht="12.75" hidden="false" customHeight="false" outlineLevel="0" collapsed="false">
      <c r="Q91" s="487" t="s">
        <v>2697</v>
      </c>
      <c r="R91" s="487"/>
      <c r="S91" s="487" t="str">
        <f aca="false">INDEX('liste reference'!$A$8:$A$904,$T$91)</f>
        <v>DIASPX</v>
      </c>
      <c r="T91" s="280" t="n">
        <f aca="false">IF(ISERROR(MATCH($S$93,'liste reference'!$A$8:$A$904,0)),MATCH($S$93,'liste reference'!$B$8:$B$904,0),(MATCH($S$93,'liste reference'!$A$8:$A$904,0)))</f>
        <v>26</v>
      </c>
      <c r="U91" s="527"/>
    </row>
    <row r="92" customFormat="false" ht="12.75" hidden="false" customHeight="false" outlineLevel="0" collapsed="false">
      <c r="Q92" s="280" t="s">
        <v>2698</v>
      </c>
      <c r="R92" s="280"/>
      <c r="S92" s="280" t="n">
        <f aca="false">MATCH(S87,$S$23:$S$82,0)</f>
        <v>3</v>
      </c>
      <c r="T92" s="280"/>
    </row>
    <row r="93" customFormat="false" ht="12.75" hidden="false" customHeight="false" outlineLevel="0" collapsed="false">
      <c r="Q93" s="487" t="s">
        <v>2699</v>
      </c>
      <c r="R93" s="280"/>
      <c r="S93" s="487" t="str">
        <f aca="false">INDEX($A$23:$A$82,$S$92)</f>
        <v>DIASPX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2608</v>
      </c>
      <c r="B1" s="274"/>
      <c r="C1" s="274"/>
      <c r="D1" s="275"/>
      <c r="E1" s="275"/>
      <c r="F1" s="274"/>
      <c r="G1" s="276"/>
      <c r="H1" s="277"/>
      <c r="I1" s="274"/>
      <c r="J1" s="274"/>
      <c r="K1" s="274"/>
      <c r="L1" s="274"/>
      <c r="M1" s="274"/>
      <c r="N1" s="274"/>
      <c r="O1" s="278" t="s">
        <v>2609</v>
      </c>
      <c r="P1" s="279"/>
      <c r="Q1" s="280"/>
      <c r="R1" s="280"/>
      <c r="S1" s="280"/>
      <c r="T1" s="280"/>
      <c r="U1" s="280"/>
      <c r="V1" s="280"/>
      <c r="W1" s="281"/>
      <c r="X1" s="282"/>
    </row>
    <row r="2" customFormat="false" ht="12.75" hidden="false" customHeight="false" outlineLevel="0" collapsed="false">
      <c r="A2" s="283" t="s">
        <v>2700</v>
      </c>
      <c r="B2" s="284"/>
      <c r="C2" s="285" t="s">
        <v>2701</v>
      </c>
      <c r="D2" s="280"/>
      <c r="E2" s="286"/>
      <c r="F2" s="287"/>
      <c r="G2" s="287"/>
      <c r="H2" s="288"/>
      <c r="I2" s="287"/>
      <c r="J2" s="287"/>
      <c r="K2" s="287"/>
      <c r="L2" s="289"/>
      <c r="M2" s="290"/>
      <c r="N2" s="290"/>
      <c r="O2" s="291" t="s">
        <v>2612</v>
      </c>
      <c r="P2" s="279"/>
      <c r="Q2" s="280"/>
      <c r="R2" s="280"/>
      <c r="S2" s="280"/>
      <c r="T2" s="280"/>
      <c r="U2" s="280"/>
      <c r="V2" s="280"/>
      <c r="W2" s="292"/>
      <c r="X2" s="293"/>
    </row>
    <row r="3" customFormat="false" ht="13.5" hidden="false" customHeight="false" outlineLevel="0" collapsed="false">
      <c r="A3" s="283" t="s">
        <v>2702</v>
      </c>
      <c r="B3" s="284"/>
      <c r="C3" s="283" t="s">
        <v>2703</v>
      </c>
      <c r="D3" s="294"/>
      <c r="E3" s="294"/>
      <c r="F3" s="295"/>
      <c r="G3" s="295"/>
      <c r="H3" s="296"/>
      <c r="I3" s="297"/>
      <c r="J3" s="296"/>
      <c r="K3" s="298" t="s">
        <v>2704</v>
      </c>
      <c r="L3" s="299"/>
      <c r="M3" s="300" t="s">
        <v>2705</v>
      </c>
      <c r="N3" s="301"/>
      <c r="O3" s="301"/>
      <c r="P3" s="302"/>
      <c r="Q3" s="280"/>
      <c r="R3" s="280"/>
      <c r="S3" s="280"/>
      <c r="T3" s="280"/>
      <c r="U3" s="280"/>
      <c r="V3" s="280"/>
      <c r="W3" s="292"/>
      <c r="X3" s="293"/>
    </row>
    <row r="4" customFormat="false" ht="13.5" hidden="false" customHeight="false" outlineLevel="0" collapsed="false">
      <c r="A4" s="303" t="s">
        <v>2706</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2626</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2629</v>
      </c>
      <c r="B7" s="336"/>
      <c r="C7" s="337"/>
      <c r="D7" s="338"/>
      <c r="E7" s="338"/>
      <c r="F7" s="339" t="n">
        <f aca="false">IF((OR((B7+C7=100),(B7+C7=0))),B7+C7,"ATTENTION")</f>
        <v>0</v>
      </c>
      <c r="G7" s="340"/>
      <c r="H7" s="338"/>
      <c r="I7" s="341"/>
      <c r="J7" s="342"/>
      <c r="K7" s="343"/>
      <c r="L7" s="344"/>
      <c r="M7" s="345"/>
      <c r="N7" s="346" t="s">
        <v>2630</v>
      </c>
      <c r="O7" s="347" t="s">
        <v>2631</v>
      </c>
      <c r="P7" s="348"/>
      <c r="Q7" s="280"/>
      <c r="R7" s="280"/>
      <c r="S7" s="280"/>
      <c r="T7" s="280"/>
      <c r="U7" s="280"/>
      <c r="V7" s="280"/>
      <c r="W7" s="292"/>
      <c r="X7" s="293"/>
    </row>
    <row r="8" customFormat="false" ht="12.75" hidden="false" customHeight="false" outlineLevel="0" collapsed="false">
      <c r="A8" s="349" t="s">
        <v>2632</v>
      </c>
      <c r="B8" s="349"/>
      <c r="C8" s="349"/>
      <c r="D8" s="338"/>
      <c r="E8" s="338"/>
      <c r="F8" s="350" t="s">
        <v>2633</v>
      </c>
      <c r="G8" s="351"/>
      <c r="H8" s="352"/>
      <c r="I8" s="341"/>
      <c r="J8" s="342"/>
      <c r="K8" s="343"/>
      <c r="L8" s="344"/>
      <c r="M8" s="353" t="s">
        <v>2634</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2635</v>
      </c>
      <c r="B9" s="356"/>
      <c r="C9" s="357"/>
      <c r="D9" s="358"/>
      <c r="E9" s="358"/>
      <c r="F9" s="359" t="n">
        <f aca="false">($B9*$B$7+$C9*$C$7)/100</f>
        <v>0</v>
      </c>
      <c r="G9" s="360"/>
      <c r="H9" s="361"/>
      <c r="I9" s="362"/>
      <c r="J9" s="363"/>
      <c r="K9" s="343"/>
      <c r="L9" s="364"/>
      <c r="M9" s="353" t="s">
        <v>2636</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2637</v>
      </c>
      <c r="B10" s="368"/>
      <c r="C10" s="369"/>
      <c r="D10" s="370"/>
      <c r="E10" s="370"/>
      <c r="F10" s="359"/>
      <c r="G10" s="360"/>
      <c r="H10" s="371"/>
      <c r="I10" s="372"/>
      <c r="J10" s="373" t="s">
        <v>2640</v>
      </c>
      <c r="K10" s="373"/>
      <c r="L10" s="374"/>
      <c r="M10" s="375" t="s">
        <v>2641</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2642</v>
      </c>
      <c r="B11" s="379"/>
      <c r="C11" s="380"/>
      <c r="D11" s="381"/>
      <c r="E11" s="381"/>
      <c r="F11" s="382" t="n">
        <f aca="false">($B11*$B$7+$C11*$C$7)/100</f>
        <v>0</v>
      </c>
      <c r="G11" s="383"/>
      <c r="H11" s="338"/>
      <c r="I11" s="384" t="s">
        <v>2643</v>
      </c>
      <c r="J11" s="384"/>
      <c r="K11" s="385" t="n">
        <f aca="false">COUNTIF($G$23:$G$82,"=HET")</f>
        <v>0</v>
      </c>
      <c r="L11" s="386"/>
      <c r="M11" s="375" t="s">
        <v>2644</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2645</v>
      </c>
      <c r="B12" s="388"/>
      <c r="C12" s="389"/>
      <c r="D12" s="381"/>
      <c r="E12" s="381"/>
      <c r="F12" s="382" t="n">
        <f aca="false">($B12*$B$7+$C12*$C$7)/100</f>
        <v>0</v>
      </c>
      <c r="G12" s="390"/>
      <c r="H12" s="338"/>
      <c r="I12" s="391" t="s">
        <v>2646</v>
      </c>
      <c r="J12" s="391"/>
      <c r="K12" s="385" t="n">
        <f aca="false">COUNTIF($G$23:$G$82,"=ALG")</f>
        <v>0</v>
      </c>
      <c r="L12" s="392"/>
      <c r="M12" s="393"/>
      <c r="N12" s="394" t="s">
        <v>2640</v>
      </c>
      <c r="O12" s="395"/>
      <c r="P12" s="396"/>
      <c r="Q12" s="280"/>
      <c r="R12" s="280"/>
      <c r="S12" s="280"/>
      <c r="T12" s="280"/>
      <c r="U12" s="280"/>
      <c r="V12" s="280"/>
    </row>
    <row r="13" customFormat="false" ht="12.75" hidden="false" customHeight="false" outlineLevel="0" collapsed="false">
      <c r="A13" s="387" t="s">
        <v>2647</v>
      </c>
      <c r="B13" s="388"/>
      <c r="C13" s="389"/>
      <c r="D13" s="381"/>
      <c r="E13" s="381"/>
      <c r="F13" s="382" t="n">
        <f aca="false">($B13*$B$7+$C13*$C$7)/100</f>
        <v>0</v>
      </c>
      <c r="G13" s="390"/>
      <c r="H13" s="338"/>
      <c r="I13" s="391" t="s">
        <v>2648</v>
      </c>
      <c r="J13" s="391"/>
      <c r="K13" s="385" t="n">
        <f aca="false">COUNTIF($G$23:$G$82,"=BRm")+COUNTIF($G$23:$G$82,"=BRh")</f>
        <v>0</v>
      </c>
      <c r="L13" s="386"/>
      <c r="M13" s="397" t="s">
        <v>2649</v>
      </c>
      <c r="N13" s="398" t="n">
        <f aca="false">COUNTIF(F23:F82,"&gt;0")</f>
        <v>0</v>
      </c>
      <c r="O13" s="399"/>
      <c r="P13" s="400"/>
      <c r="Q13" s="280"/>
      <c r="R13" s="280"/>
      <c r="S13" s="280"/>
      <c r="T13" s="280"/>
      <c r="U13" s="280"/>
      <c r="V13" s="280"/>
    </row>
    <row r="14" customFormat="false" ht="12.75" hidden="false" customHeight="false" outlineLevel="0" collapsed="false">
      <c r="A14" s="387" t="s">
        <v>2650</v>
      </c>
      <c r="B14" s="388"/>
      <c r="C14" s="389"/>
      <c r="D14" s="381"/>
      <c r="E14" s="381"/>
      <c r="F14" s="382" t="n">
        <f aca="false">($B14*$B$7+$C14*$C$7)/100</f>
        <v>0</v>
      </c>
      <c r="G14" s="390"/>
      <c r="H14" s="338"/>
      <c r="I14" s="391" t="s">
        <v>2651</v>
      </c>
      <c r="J14" s="391"/>
      <c r="K14" s="385" t="n">
        <f aca="false">COUNTIF($G$23:$G$82,"=PTE")+COUNTIF($G$23:$G$82,"=LIC")</f>
        <v>0</v>
      </c>
      <c r="L14" s="386"/>
      <c r="M14" s="401" t="s">
        <v>2652</v>
      </c>
      <c r="N14" s="402" t="n">
        <f aca="false">COUNTIF($I$23:$I$82,"&gt;-1")</f>
        <v>0</v>
      </c>
      <c r="O14" s="403"/>
      <c r="P14" s="400"/>
      <c r="Q14" s="280"/>
      <c r="R14" s="280"/>
      <c r="S14" s="280"/>
      <c r="T14" s="280"/>
      <c r="U14" s="280"/>
      <c r="V14" s="280"/>
    </row>
    <row r="15" customFormat="false" ht="12.75" hidden="false" customHeight="false" outlineLevel="0" collapsed="false">
      <c r="A15" s="404" t="s">
        <v>2653</v>
      </c>
      <c r="B15" s="405"/>
      <c r="C15" s="406"/>
      <c r="D15" s="381"/>
      <c r="E15" s="381"/>
      <c r="F15" s="382" t="n">
        <f aca="false">($B15*$B$7+$C15*$C$7)/100</f>
        <v>0</v>
      </c>
      <c r="G15" s="390"/>
      <c r="H15" s="338"/>
      <c r="I15" s="391" t="s">
        <v>2654</v>
      </c>
      <c r="J15" s="391"/>
      <c r="K15" s="385" t="n">
        <f aca="false">(COUNTIF($G$23:$G$82,"=PHy"))+(COUNTIF($G$23:$G$82,"=PHe"))+(COUNTIF($G$23:$G$82,"=PHg"))+(COUNTIF($G$23:$G$82,"=PHx"))</f>
        <v>0</v>
      </c>
      <c r="L15" s="386"/>
      <c r="M15" s="407" t="s">
        <v>2655</v>
      </c>
      <c r="N15" s="408" t="n">
        <f aca="false">COUNTIF(J23:J82,"=1")</f>
        <v>0</v>
      </c>
      <c r="O15" s="409"/>
      <c r="P15" s="400"/>
      <c r="Q15" s="280"/>
      <c r="R15" s="280"/>
      <c r="S15" s="280"/>
      <c r="T15" s="280"/>
      <c r="U15" s="280"/>
      <c r="V15" s="280"/>
    </row>
    <row r="16" customFormat="false" ht="12.75" hidden="false" customHeight="false" outlineLevel="0" collapsed="false">
      <c r="A16" s="378" t="s">
        <v>2656</v>
      </c>
      <c r="B16" s="379"/>
      <c r="C16" s="380"/>
      <c r="D16" s="410"/>
      <c r="E16" s="410"/>
      <c r="F16" s="411"/>
      <c r="G16" s="411" t="n">
        <f aca="false">($B16*$B$7+$C16*$C$7)/100</f>
        <v>0</v>
      </c>
      <c r="H16" s="338"/>
      <c r="I16" s="391"/>
      <c r="J16" s="412"/>
      <c r="K16" s="412"/>
      <c r="L16" s="386"/>
      <c r="M16" s="407" t="s">
        <v>2657</v>
      </c>
      <c r="N16" s="408" t="n">
        <f aca="false">COUNTIF(J23:J82,"=2")</f>
        <v>0</v>
      </c>
      <c r="O16" s="409"/>
      <c r="P16" s="400"/>
      <c r="Q16" s="280"/>
      <c r="R16" s="280"/>
      <c r="S16" s="280"/>
      <c r="T16" s="280"/>
      <c r="U16" s="280"/>
      <c r="V16" s="280"/>
    </row>
    <row r="17" customFormat="false" ht="12.75" hidden="false" customHeight="false" outlineLevel="0" collapsed="false">
      <c r="A17" s="387" t="s">
        <v>2658</v>
      </c>
      <c r="B17" s="388"/>
      <c r="C17" s="389"/>
      <c r="D17" s="381"/>
      <c r="E17" s="381"/>
      <c r="F17" s="413"/>
      <c r="G17" s="382" t="n">
        <f aca="false">($B17*$B$7+$C17*$C$7)/100</f>
        <v>0</v>
      </c>
      <c r="H17" s="338"/>
      <c r="I17" s="391"/>
      <c r="J17" s="391"/>
      <c r="K17" s="412"/>
      <c r="L17" s="386"/>
      <c r="M17" s="407" t="s">
        <v>2659</v>
      </c>
      <c r="N17" s="408" t="n">
        <f aca="false">COUNTIF(J23:J82,"=3")</f>
        <v>0</v>
      </c>
      <c r="O17" s="409"/>
      <c r="P17" s="400"/>
      <c r="Q17" s="280"/>
      <c r="R17" s="280"/>
      <c r="S17" s="280"/>
      <c r="T17" s="280"/>
      <c r="U17" s="280"/>
      <c r="V17" s="280"/>
    </row>
    <row r="18" customFormat="false" ht="12.75" hidden="false" customHeight="false" outlineLevel="0" collapsed="false">
      <c r="A18" s="414" t="s">
        <v>2660</v>
      </c>
      <c r="B18" s="415"/>
      <c r="C18" s="416"/>
      <c r="D18" s="381"/>
      <c r="E18" s="417" t="s">
        <v>2661</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2662</v>
      </c>
      <c r="B20" s="435" t="n">
        <f aca="false">SUM(B23:B82)</f>
        <v>0</v>
      </c>
      <c r="C20" s="436" t="n">
        <f aca="false">SUM(C23:C82)</f>
        <v>0</v>
      </c>
      <c r="D20" s="437"/>
      <c r="E20" s="438" t="s">
        <v>2661</v>
      </c>
      <c r="F20" s="439" t="n">
        <f aca="false">($B20*$B$7+$C20*$C$7)/100</f>
        <v>0</v>
      </c>
      <c r="G20" s="440"/>
      <c r="H20" s="441"/>
      <c r="I20" s="442"/>
      <c r="J20" s="442"/>
      <c r="K20" s="443"/>
      <c r="L20" s="317"/>
      <c r="M20" s="444"/>
      <c r="N20" s="444"/>
      <c r="O20" s="445"/>
      <c r="P20" s="446"/>
      <c r="Q20" s="447" t="s">
        <v>2663</v>
      </c>
      <c r="R20" s="280"/>
      <c r="S20" s="280"/>
      <c r="T20" s="280"/>
      <c r="U20" s="280"/>
      <c r="V20" s="280"/>
      <c r="W20" s="420"/>
    </row>
    <row r="21" customFormat="false" ht="12.75" hidden="false" customHeight="false" outlineLevel="0" collapsed="false">
      <c r="A21" s="448" t="s">
        <v>2665</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2666</v>
      </c>
      <c r="R21" s="280"/>
      <c r="S21" s="280"/>
      <c r="T21" s="280"/>
      <c r="U21" s="280"/>
      <c r="V21" s="280"/>
      <c r="W21" s="420"/>
    </row>
    <row r="22" customFormat="false" ht="12.75" hidden="false" customHeight="false" outlineLevel="0" collapsed="false">
      <c r="A22" s="459" t="s">
        <v>2668</v>
      </c>
      <c r="B22" s="460" t="s">
        <v>2669</v>
      </c>
      <c r="C22" s="461" t="s">
        <v>2669</v>
      </c>
      <c r="D22" s="410"/>
      <c r="E22" s="410"/>
      <c r="F22" s="462" t="s">
        <v>2670</v>
      </c>
      <c r="G22" s="463" t="s">
        <v>37</v>
      </c>
      <c r="H22" s="410"/>
      <c r="I22" s="464" t="s">
        <v>2671</v>
      </c>
      <c r="J22" s="464" t="s">
        <v>2672</v>
      </c>
      <c r="K22" s="465" t="s">
        <v>2673</v>
      </c>
      <c r="L22" s="465"/>
      <c r="M22" s="465"/>
      <c r="N22" s="465"/>
      <c r="O22" s="465"/>
      <c r="P22" s="466" t="s">
        <v>2674</v>
      </c>
      <c r="Q22" s="467" t="s">
        <v>2675</v>
      </c>
      <c r="R22" s="468" t="s">
        <v>2676</v>
      </c>
      <c r="S22" s="469" t="s">
        <v>2677</v>
      </c>
      <c r="T22" s="470" t="s">
        <v>2678</v>
      </c>
      <c r="U22" s="471" t="s">
        <v>2679</v>
      </c>
      <c r="V22" s="469" t="s">
        <v>2680</v>
      </c>
      <c r="Y22" s="280" t="s">
        <v>2681</v>
      </c>
      <c r="Z22" s="280" t="s">
        <v>2682</v>
      </c>
      <c r="AA22" s="472" t="s">
        <v>2683</v>
      </c>
      <c r="AB22" s="472" t="s">
        <v>2684</v>
      </c>
      <c r="AC22" s="473" t="s">
        <v>2685</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2691</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2692</v>
      </c>
      <c r="R86" s="280"/>
      <c r="S86" s="488"/>
      <c r="T86" s="280"/>
      <c r="U86" s="280"/>
      <c r="V86" s="280"/>
    </row>
    <row r="87" customFormat="false" ht="12.75" hidden="true" customHeight="false" outlineLevel="0" collapsed="false">
      <c r="P87" s="280"/>
      <c r="Q87" s="280" t="s">
        <v>2693</v>
      </c>
      <c r="R87" s="280"/>
      <c r="S87" s="488" t="n">
        <f aca="false">VLOOKUP(MAX($S$23:$S$82),($S$23:$U$82),1,0)</f>
        <v>0</v>
      </c>
      <c r="T87" s="280"/>
      <c r="U87" s="280"/>
      <c r="V87" s="280"/>
    </row>
    <row r="88" customFormat="false" ht="12.75" hidden="true" customHeight="false" outlineLevel="0" collapsed="false">
      <c r="P88" s="280"/>
      <c r="Q88" s="280" t="s">
        <v>2694</v>
      </c>
      <c r="R88" s="280"/>
      <c r="S88" s="488" t="n">
        <f aca="false">VLOOKUP((S87),($S$23:$U$82),2,0)</f>
        <v>0</v>
      </c>
      <c r="T88" s="280"/>
      <c r="U88" s="280"/>
      <c r="V88" s="280"/>
    </row>
    <row r="89" customFormat="false" ht="12.75" hidden="true" customHeight="false" outlineLevel="0" collapsed="false">
      <c r="Q89" s="280" t="s">
        <v>2695</v>
      </c>
      <c r="R89" s="280"/>
      <c r="S89" s="488" t="n">
        <f aca="false">VLOOKUP((S87),($S$23:$U$82),3,0)</f>
        <v>0</v>
      </c>
      <c r="T89" s="280"/>
    </row>
    <row r="90" customFormat="false" ht="12.75" hidden="false" customHeight="false" outlineLevel="0" collapsed="false">
      <c r="Q90" s="280" t="s">
        <v>2696</v>
      </c>
      <c r="R90" s="280"/>
      <c r="S90" s="538" t="str">
        <f aca="false">IF(ISERROR(SUM($T$23:$T$82)/SUM($U$23:$U$82)),"",(SUM($T$23:$T$82)-S88)/(SUM($U$23:$U$82)-S89))</f>
        <v/>
      </c>
      <c r="T90" s="280"/>
    </row>
    <row r="91" customFormat="false" ht="12.75" hidden="false" customHeight="false" outlineLevel="0" collapsed="false">
      <c r="Q91" s="487" t="s">
        <v>2697</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2698</v>
      </c>
      <c r="R92" s="280"/>
      <c r="S92" s="280" t="n">
        <f aca="false">MATCH(S87,$S$23:$S$82,0)</f>
        <v>1</v>
      </c>
      <c r="T92" s="280"/>
    </row>
    <row r="93" customFormat="false" ht="12.75" hidden="false" customHeight="false" outlineLevel="0" collapsed="false">
      <c r="Q93" s="487" t="s">
        <v>2699</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2707</v>
      </c>
      <c r="B1" s="549"/>
      <c r="C1" s="549"/>
      <c r="D1" s="549"/>
    </row>
    <row r="2" customFormat="false" ht="15" hidden="false" customHeight="false" outlineLevel="0" collapsed="false">
      <c r="A2" s="550" t="s">
        <v>2708</v>
      </c>
      <c r="B2" s="551"/>
      <c r="C2" s="552"/>
      <c r="D2" s="552"/>
    </row>
    <row r="3" customFormat="false" ht="15.75" hidden="false" customHeight="false" outlineLevel="0" collapsed="false">
      <c r="A3" s="550" t="s">
        <v>2709</v>
      </c>
      <c r="B3" s="551"/>
      <c r="C3" s="552"/>
      <c r="D3" s="553" t="s">
        <v>2710</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2711</v>
      </c>
      <c r="G15" s="571"/>
      <c r="H15" s="572" t="s">
        <v>2712</v>
      </c>
      <c r="I15" s="571"/>
    </row>
    <row r="16" customFormat="false" ht="15" hidden="false" customHeight="false" outlineLevel="0" collapsed="false">
      <c r="A16" s="567" t="s">
        <v>1708</v>
      </c>
      <c r="B16" s="566" t="s">
        <v>1709</v>
      </c>
      <c r="C16" s="568"/>
      <c r="D16" s="569"/>
      <c r="F16" s="573" t="s">
        <v>2713</v>
      </c>
      <c r="G16" s="574"/>
      <c r="H16" s="573" t="s">
        <v>2713</v>
      </c>
      <c r="I16" s="575"/>
    </row>
    <row r="17" customFormat="false" ht="15" hidden="false" customHeight="false" outlineLevel="0" collapsed="false">
      <c r="A17" s="565" t="s">
        <v>2127</v>
      </c>
      <c r="B17" s="566" t="s">
        <v>2128</v>
      </c>
      <c r="C17" s="568"/>
      <c r="D17" s="569"/>
      <c r="F17" s="576" t="s">
        <v>2714</v>
      </c>
      <c r="G17" s="577"/>
      <c r="H17" s="576" t="s">
        <v>2714</v>
      </c>
      <c r="I17" s="578"/>
    </row>
    <row r="18" customFormat="false" ht="15" hidden="false" customHeight="false" outlineLevel="0" collapsed="false">
      <c r="A18" s="565" t="s">
        <v>1212</v>
      </c>
      <c r="B18" s="566" t="s">
        <v>1213</v>
      </c>
      <c r="C18" s="568"/>
      <c r="D18" s="569"/>
      <c r="F18" s="576" t="s">
        <v>2624</v>
      </c>
      <c r="G18" s="577"/>
      <c r="H18" s="576" t="s">
        <v>2624</v>
      </c>
      <c r="I18" s="578"/>
    </row>
    <row r="19" customFormat="false" ht="15" hidden="false" customHeight="false" outlineLevel="0" collapsed="false">
      <c r="A19" s="565" t="s">
        <v>1711</v>
      </c>
      <c r="B19" s="566" t="s">
        <v>1712</v>
      </c>
      <c r="C19" s="568"/>
      <c r="D19" s="569"/>
      <c r="F19" s="576" t="s">
        <v>2715</v>
      </c>
      <c r="G19" s="577"/>
      <c r="H19" s="576" t="s">
        <v>2715</v>
      </c>
      <c r="I19" s="578"/>
    </row>
    <row r="20" customFormat="false" ht="15" hidden="false" customHeight="false" outlineLevel="0" collapsed="false">
      <c r="A20" s="567" t="s">
        <v>1714</v>
      </c>
      <c r="B20" s="566" t="s">
        <v>1715</v>
      </c>
      <c r="C20" s="568"/>
      <c r="D20" s="569"/>
      <c r="F20" s="576" t="s">
        <v>2716</v>
      </c>
      <c r="G20" s="577"/>
      <c r="H20" s="576" t="s">
        <v>2716</v>
      </c>
      <c r="I20" s="578"/>
    </row>
    <row r="21" customFormat="false" ht="15" hidden="false" customHeight="false" outlineLevel="0" collapsed="false">
      <c r="A21" s="567" t="s">
        <v>1720</v>
      </c>
      <c r="B21" s="566" t="s">
        <v>1721</v>
      </c>
      <c r="C21" s="568"/>
      <c r="D21" s="569"/>
      <c r="F21" s="576" t="s">
        <v>2717</v>
      </c>
      <c r="G21" s="577"/>
      <c r="H21" s="576" t="s">
        <v>2717</v>
      </c>
      <c r="I21" s="578"/>
    </row>
    <row r="22" customFormat="false" ht="15" hidden="false" customHeight="false" outlineLevel="0" collapsed="false">
      <c r="A22" s="565" t="s">
        <v>1726</v>
      </c>
      <c r="B22" s="566" t="s">
        <v>1727</v>
      </c>
      <c r="C22" s="568"/>
      <c r="D22" s="569"/>
      <c r="F22" s="576" t="s">
        <v>2718</v>
      </c>
      <c r="G22" s="577"/>
      <c r="H22" s="576" t="s">
        <v>2718</v>
      </c>
      <c r="I22" s="578"/>
    </row>
    <row r="23" customFormat="false" ht="15" hidden="false" customHeight="false" outlineLevel="0" collapsed="false">
      <c r="A23" s="565" t="s">
        <v>2465</v>
      </c>
      <c r="B23" s="566" t="s">
        <v>2466</v>
      </c>
      <c r="C23" s="568"/>
      <c r="D23" s="569"/>
      <c r="F23" s="576" t="s">
        <v>2625</v>
      </c>
      <c r="G23" s="577"/>
      <c r="H23" s="576" t="s">
        <v>2625</v>
      </c>
      <c r="I23" s="578"/>
    </row>
    <row r="24" customFormat="false" ht="15" hidden="false" customHeight="false" outlineLevel="0" collapsed="false">
      <c r="A24" s="565" t="s">
        <v>2130</v>
      </c>
      <c r="B24" s="566" t="s">
        <v>2131</v>
      </c>
      <c r="C24" s="568"/>
      <c r="D24" s="569"/>
      <c r="F24" s="576" t="s">
        <v>2719</v>
      </c>
      <c r="G24" s="577"/>
      <c r="H24" s="576" t="s">
        <v>2719</v>
      </c>
      <c r="I24" s="578"/>
    </row>
    <row r="25" customFormat="false" ht="15" hidden="false" customHeight="false" outlineLevel="0" collapsed="false">
      <c r="A25" s="565" t="s">
        <v>2133</v>
      </c>
      <c r="B25" s="566" t="s">
        <v>2134</v>
      </c>
      <c r="C25" s="568"/>
      <c r="D25" s="569"/>
      <c r="F25" s="579" t="s">
        <v>2720</v>
      </c>
      <c r="G25" s="580"/>
      <c r="H25" s="579" t="s">
        <v>2720</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2683</v>
      </c>
    </row>
    <row r="29" customFormat="false" ht="15" hidden="false" customHeight="false" outlineLevel="0" collapsed="false">
      <c r="A29" s="565" t="s">
        <v>1219</v>
      </c>
      <c r="B29" s="566" t="s">
        <v>1220</v>
      </c>
      <c r="C29" s="568"/>
      <c r="D29" s="569"/>
      <c r="F29" s="583" t="s">
        <v>2686</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2721</v>
      </c>
    </row>
    <row r="35" customFormat="false" ht="15" hidden="false" customHeight="false" outlineLevel="0" collapsed="false">
      <c r="A35" s="565" t="s">
        <v>52</v>
      </c>
      <c r="B35" s="566" t="s">
        <v>53</v>
      </c>
      <c r="C35" s="568"/>
      <c r="D35" s="569"/>
      <c r="F35" s="583" t="s">
        <v>2722</v>
      </c>
    </row>
    <row r="36" customFormat="false" ht="15" hidden="false" customHeight="false" outlineLevel="0" collapsed="false">
      <c r="A36" s="567" t="s">
        <v>320</v>
      </c>
      <c r="B36" s="566" t="s">
        <v>321</v>
      </c>
      <c r="C36" s="568"/>
      <c r="D36" s="569"/>
      <c r="F36" s="585" t="s">
        <v>2639</v>
      </c>
    </row>
    <row r="37" customFormat="false" ht="15" hidden="false" customHeight="false" outlineLevel="0" collapsed="false">
      <c r="A37" s="565" t="s">
        <v>2142</v>
      </c>
      <c r="B37" s="566" t="s">
        <v>2723</v>
      </c>
      <c r="C37" s="568"/>
      <c r="D37" s="569"/>
      <c r="F37" s="585" t="s">
        <v>2638</v>
      </c>
    </row>
    <row r="38" customFormat="false" ht="15" hidden="false" customHeight="false" outlineLevel="0" collapsed="false">
      <c r="A38" s="565" t="s">
        <v>2145</v>
      </c>
      <c r="B38" s="566" t="s">
        <v>2146</v>
      </c>
      <c r="C38" s="568"/>
      <c r="D38" s="569"/>
      <c r="F38" s="585" t="s">
        <v>2724</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2725</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2726</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2727</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2728</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2729</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2730</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2731</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vbou</cp:lastModifiedBy>
  <cp:lastPrinted>2013-11-13T15:17:03Z</cp:lastPrinted>
  <dcterms:modified xsi:type="dcterms:W3CDTF">2015-03-20T11:46:20Z</dcterms:modified>
  <cp:revision>0</cp:revision>
  <dc:subject/>
  <dc:title>Feuille d'aide au calcul de l'IBMR</dc:title>
</cp:coreProperties>
</file>