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Durance à Roquebrune" sheetId="6" state="visible" r:id="rId8"/>
    <sheet name="modele" sheetId="7" state="hidden" r:id="rId9"/>
    <sheet name="liste codes réf" sheetId="8" state="hidden" r:id="rId10"/>
  </sheets>
  <definedNames>
    <definedName function="false" hidden="false" localSheetId="5" name="_xlnm.Print_Area" vbProcedure="false">'Durance à Roquebrune'!$A$1:$O$82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'Durance à Roquebrune'!$A$23:$J$84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17</xdr:colOff>
                <xdr:row>0</xdr:row>
                <xdr:rowOff>10</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<sst xmlns="http://schemas.openxmlformats.org/spreadsheetml/2006/main" count="7357" uniqueCount="2732">
  <si>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</si>
  <si>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</si>
  <si>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</si>
  <si>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</si>
  <si>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</si>
  <si>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</si>
  <si>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</si>
  <si>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</si>
  <si>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</si>
  <si>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</si>
  <si>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</si>
  <si>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</si>
  <si>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</si>
  <si>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</si>
  <si>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</si>
  <si>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</si>
  <si>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</si>
  <si>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</si>
  <si>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</si>
  <si>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</si>
  <si>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</si>
  <si>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</si>
  <si>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</si>
  <si>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</si>
  <si>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</si>
  <si>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</si>
  <si>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</si>
  <si>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</si>
  <si>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</si>
  <si>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</si>
  <si>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</si>
  <si>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</si>
  <si>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</si>
  <si>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</si>
  <si>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</si>
  <si>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</si>
  <si>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</si>
  <si>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</si>
  <si>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</si>
  <si>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</si>
  <si>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</si>
  <si>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</si>
  <si>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</si>
  <si>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</si>
  <si>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</si>
  <si>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</si>
  <si>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</si>
  <si>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</si>
  <si>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</si>
  <si>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</si>
  <si>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</si>
  <si>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</si>
  <si>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</si>
  <si>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</si>
  <si>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</si>
  <si>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</si>
  <si>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</si>
  <si>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</si>
  <si>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</si>
  <si>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</si>
  <si>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</si>
  <si>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</si>
  <si>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</si>
  <si>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</si>
  <si>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</si>
  <si>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</si>
  <si>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</si>
  <si>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</si>
  <si>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</si>
  <si>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</si>
  <si>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</si>
  <si>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</si>
  <si>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</si>
  <si>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</si>
  <si>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</si>
  <si>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</si>
  <si>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</si>
  <si>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</si>
  <si>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</si>
  <si>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</si>
  <si>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</si>
  <si>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</si>
  <si>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</si>
  <si>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</si>
  <si>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</si>
  <si>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</si>
  <si>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</si>
  <si>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</si>
  <si>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</si>
  <si>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</si>
  <si>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</si>
  <si>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</si>
  <si>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</si>
  <si>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</si>
  <si>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</si>
  <si>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</si>
  <si>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</si>
  <si>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</si>
  <si>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</si>
  <si>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</si>
  <si>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</si>
  <si>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</si>
  <si>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</si>
  <si>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</si>
  <si>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</si>
  <si>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</si>
  <si>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</si>
  <si>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</si>
  <si>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</si>
  <si>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</si>
  <si>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</si>
  <si>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</si>
  <si>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</si>
  <si>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</si>
  <si>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</si>
  <si>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</si>
  <si>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</si>
  <si>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</si>
  <si>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</si>
  <si>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</si>
  <si>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</si>
  <si>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</si>
  <si>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</si>
  <si>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</si>
  <si>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</si>
  <si>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</si>
  <si>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</si>
  <si>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</si>
  <si>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</si>
  <si>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</si>
  <si>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</si>
  <si>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</si>
  <si>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</si>
  <si>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</si>
  <si>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</si>
  <si>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</si>
  <si>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</si>
  <si>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</si>
  <si>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</si>
  <si>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</si>
  <si>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</si>
  <si>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</si>
  <si>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</si>
  <si>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</si>
  <si>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</si>
  <si>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</si>
  <si>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</si>
  <si>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</si>
  <si>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</si>
  <si>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</si>
  <si>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</si>
  <si>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</si>
  <si>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</si>
  <si>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</si>
  <si>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</si>
  <si>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</si>
  <si>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</si>
  <si>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</si>
  <si>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</si>
  <si>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</si>
  <si>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</si>
  <si>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</si>
  <si>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</si>
  <si>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</si>
  <si>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</si>
  <si>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</si>
  <si>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</si>
  <si>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</si>
  <si>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</si>
  <si>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</si>
  <si>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</si>
  <si>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</si>
  <si>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</si>
  <si>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</si>
  <si>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</si>
  <si>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</si>
  <si>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</si>
  <si>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</si>
  <si>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</si>
  <si>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</si>
  <si>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</si>
  <si>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</si>
  <si>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</si>
  <si>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</si>
  <si>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</si>
  <si>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</si>
  <si>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</si>
  <si>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</si>
  <si>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</si>
  <si>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</si>
  <si>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</si>
  <si>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</si>
  <si>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</si>
  <si>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</si>
  <si>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</si>
  <si>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</si>
  <si>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</si>
  <si>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</si>
  <si>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</si>
  <si>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</si>
  <si>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</si>
  <si>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</si>
  <si>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</si>
  <si>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</si>
  <si>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</si>
  <si>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</si>
  <si>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</si>
  <si>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</si>
  <si>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</si>
  <si>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</si>
  <si>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</si>
  <si>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</si>
  <si>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</si>
  <si>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</si>
  <si>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</si>
  <si>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</si>
  <si>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</si>
  <si>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</si>
  <si>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</si>
  <si>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</si>
  <si>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</si>
  <si>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</si>
  <si>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</si>
  <si>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</si>
  <si>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</si>
  <si>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</si>
  <si>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</si>
  <si>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</si>
  <si>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</si>
  <si>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</si>
  <si>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</si>
  <si>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</si>
  <si>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</si>
  <si>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</si>
  <si>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</si>
  <si>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</si>
  <si>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</si>
  <si>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</si>
  <si>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</si>
  <si>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</si>
  <si>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</si>
  <si>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</si>
  <si>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</si>
  <si>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</si>
  <si>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</si>
  <si>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</si>
  <si>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</si>
  <si>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</si>
  <si>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</si>
  <si>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</si>
  <si>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</si>
  <si>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</si>
  <si>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</si>
  <si>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</si>
  <si>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</si>
  <si>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</si>
  <si>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</si>
  <si>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</si>
  <si>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</si>
  <si>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</si>
  <si>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</si>
  <si>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</si>
  <si>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</si>
  <si>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</si>
  <si>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</si>
  <si>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</si>
  <si>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</si>
  <si>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</si>
  <si>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</si>
  <si>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</si>
  <si>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</si>
  <si>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</si>
  <si>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</si>
  <si>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</si>
  <si>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</si>
  <si>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</si>
  <si>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</si>
  <si>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</si>
  <si>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</si>
  <si>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</si>
  <si>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</si>
  <si>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</si>
  <si>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</si>
  <si>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</si>
  <si>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</si>
  <si>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</si>
  <si>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</si>
  <si>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</si>
  <si>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</si>
  <si>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</si>
  <si>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</si>
  <si>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</si>
  <si>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</si>
  <si>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</si>
  <si>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</si>
  <si>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</si>
  <si>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</si>
  <si>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</si>
  <si>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</si>
  <si>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</si>
  <si>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</si>
  <si>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</si>
  <si>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</si>
  <si>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</si>
  <si>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</si>
  <si>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</si>
  <si>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</si>
  <si>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</si>
  <si>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</si>
  <si>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</si>
  <si>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</si>
  <si>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</si>
  <si>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</si>
  <si>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</si>
  <si>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</si>
  <si>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</si>
  <si>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</si>
  <si>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</si>
  <si>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</si>
  <si>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</si>
  <si>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</si>
  <si>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</si>
  <si>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</si>
  <si>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</si>
  <si>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</si>
  <si>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</si>
  <si>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</si>
  <si>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</si>
  <si>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</si>
  <si>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</si>
  <si>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</si>
  <si>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</si>
  <si>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</si>
  <si>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</si>
  <si>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</si>
  <si>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</si>
  <si>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</si>
  <si>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</si>
  <si>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</si>
  <si>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</si>
  <si>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</si>
  <si>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</si>
  <si>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</si>
  <si>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</si>
  <si>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</si>
  <si>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</si>
  <si>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</si>
  <si>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</si>
  <si>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</si>
  <si>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</si>
  <si>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</si>
  <si>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</si>
  <si>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</si>
  <si>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</si>
  <si>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</si>
  <si>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</si>
  <si>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</si>
  <si>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</si>
  <si>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</si>
  <si>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</si>
  <si>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</si>
  <si>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</si>
  <si>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</si>
  <si>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</si>
  <si>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</si>
  <si>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</si>
  <si>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</si>
  <si>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</si>
  <si>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</si>
  <si>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</si>
  <si>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</si>
  <si>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</si>
  <si>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</si>
  <si>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</si>
  <si>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</si>
  <si>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</si>
  <si>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</si>
  <si>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</si>
  <si>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</si>
  <si>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</si>
  <si>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</si>
  <si>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</si>
  <si>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</si>
  <si>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</si>
  <si>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</si>
  <si>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</si>
  <si>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</si>
  <si>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</si>
  <si>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</si>
  <si>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</si>
  <si>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</si>
  <si>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</si>
  <si>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</si>
  <si>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</si>
  <si>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</si>
  <si>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</si>
  <si>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</si>
  <si>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</si>
  <si>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</si>
  <si>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</si>
  <si>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</si>
  <si>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</si>
  <si>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</si>
  <si>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</si>
  <si>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</si>
  <si>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</si>
  <si>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</si>
  <si>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</si>
  <si>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</si>
  <si>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</si>
  <si>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</si>
  <si>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</si>
  <si>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</si>
  <si>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</si>
  <si>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</si>
  <si>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</si>
  <si>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</si>
  <si>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</si>
  <si>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</si>
  <si>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</si>
  <si>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</si>
  <si>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</si>
  <si>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</si>
  <si>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</si>
  <si>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</si>
  <si>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</si>
  <si>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</si>
  <si>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</si>
  <si>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</si>
  <si>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</si>
  <si>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</si>
  <si>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</si>
  <si>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</si>
  <si>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</si>
  <si>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</si>
  <si>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</si>
  <si>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</si>
  <si>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</si>
  <si>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</si>
  <si>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</si>
  <si>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</si>
  <si>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</si>
  <si>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</si>
  <si>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</si>
  <si>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</si>
  <si>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</si>
  <si>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</si>
  <si>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</si>
  <si>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</si>
  <si>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</si>
  <si>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</si>
  <si>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</si>
  <si>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</si>
  <si>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</si>
  <si>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</si>
  <si>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</si>
  <si>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</si>
  <si>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</si>
  <si>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</si>
  <si>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</si>
  <si>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</si>
  <si>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</si>
  <si>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</si>
  <si>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</si>
  <si>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</si>
  <si>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</si>
  <si>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</si>
  <si>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</si>
  <si>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</si>
  <si>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</si>
  <si>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</si>
  <si>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</si>
  <si>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</si>
  <si>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</si>
  <si>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</si>
  <si>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</si>
  <si>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</si>
  <si>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</si>
  <si>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</si>
  <si>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</si>
  <si>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</si>
  <si>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</si>
  <si>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</si>
  <si>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</si>
  <si>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</si>
  <si>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</si>
  <si>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</si>
  <si>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</si>
  <si>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</si>
  <si>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</si>
  <si>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</si>
  <si>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</si>
  <si>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</si>
  <si>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</si>
  <si>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</si>
  <si>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</si>
  <si>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</si>
  <si>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</si>
  <si>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</si>
  <si>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</si>
  <si>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</si>
  <si>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</si>
  <si>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</si>
  <si>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</si>
  <si>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</si>
  <si>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</si>
  <si>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</si>
  <si>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</si>
  <si>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</si>
  <si>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</si>
  <si>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</si>
  <si>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</si>
  <si>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</si>
  <si>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</si>
  <si>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</si>
  <si>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</si>
  <si>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</si>
  <si>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</si>
  <si>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</si>
  <si>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</si>
  <si>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</si>
  <si>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</si>
  <si>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</si>
  <si>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</si>
  <si>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</si>
  <si>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</si>
  <si>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</si>
  <si>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</si>
  <si>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</si>
  <si>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</si>
  <si>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</si>
  <si>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</si>
  <si>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</si>
  <si>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</si>
  <si>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</si>
  <si>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</si>
  <si>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</si>
  <si>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</si>
  <si>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</si>
  <si>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</si>
  <si>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</si>
  <si>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</si>
  <si>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</si>
  <si>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</si>
  <si>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</si>
  <si>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</si>
  <si>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</si>
  <si>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</si>
  <si>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</si>
  <si>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</si>
  <si>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</si>
  <si>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</si>
  <si>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</si>
  <si>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</si>
  <si>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</si>
  <si>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</si>
  <si>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</si>
  <si>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</si>
  <si>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</si>
  <si>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</si>
  <si>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</si>
  <si>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</si>
  <si>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</si>
  <si>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</si>
  <si>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</si>
  <si>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</si>
  <si>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</si>
  <si>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</si>
  <si>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</si>
  <si>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</si>
  <si>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</si>
  <si>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</si>
  <si>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</si>
  <si>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</si>
  <si>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</si>
  <si>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</si>
  <si>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</si>
  <si>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</si>
  <si>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</si>
  <si>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</si>
  <si>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</si>
  <si>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</si>
  <si>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</si>
  <si>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</si>
  <si>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</si>
  <si>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</si>
  <si>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</si>
  <si>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</si>
  <si>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</si>
  <si>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</si>
  <si>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</si>
  <si>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</si>
  <si>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</si>
  <si>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</si>
  <si>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</si>
  <si>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</si>
  <si>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</si>
  <si>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</si>
  <si>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</si>
  <si>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</si>
  <si>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</si>
  <si>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</si>
  <si>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</si>
  <si>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</si>
  <si>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</si>
  <si>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</si>
  <si>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</si>
  <si>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</si>
  <si>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</si>
  <si>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</si>
  <si>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</si>
  <si>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</si>
  <si>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</si>
  <si>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</si>
  <si>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</si>
  <si>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</si>
  <si>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</si>
  <si>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</si>
  <si>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</si>
  <si>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</si>
  <si>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</si>
  <si>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</si>
  <si>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</si>
  <si>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</si>
  <si>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</si>
  <si>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</si>
  <si>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</si>
  <si>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</si>
  <si>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</si>
  <si>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</si>
  <si>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</si>
  <si>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</si>
  <si>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</si>
  <si>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</si>
  <si>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</si>
  <si>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</si>
  <si>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</si>
  <si>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</si>
  <si>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</si>
  <si>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</si>
  <si>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</si>
  <si>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</si>
  <si>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</si>
  <si>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</si>
  <si>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</si>
  <si>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</si>
  <si>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</si>
  <si>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</si>
  <si>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</si>
  <si>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</si>
  <si>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</si>
  <si>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</si>
  <si>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</si>
  <si>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</si>
  <si>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</si>
  <si>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</si>
  <si>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</si>
  <si>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</si>
  <si>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</si>
  <si>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</si>
  <si>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</si>
  <si>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</si>
  <si>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</si>
  <si>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</si>
  <si>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</si>
  <si>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</si>
  <si>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</si>
  <si>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</si>
  <si>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</si>
  <si>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</si>
  <si>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</si>
  <si>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</si>
  <si>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</si>
  <si>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</si>
  <si>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</si>
  <si>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</si>
  <si>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</si>
  <si>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</si>
  <si>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</si>
  <si>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</si>
  <si>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</si>
  <si>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</si>
  <si>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</si>
  <si>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</si>
  <si>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</si>
  <si>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</si>
  <si>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</si>
  <si>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</si>
  <si>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</si>
  <si>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</si>
  <si>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</si>
  <si>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</si>
  <si>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</si>
  <si>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</si>
  <si>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</si>
  <si>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</si>
  <si>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</si>
  <si>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</si>
  <si>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</si>
  <si>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</si>
  <si>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</si>
  <si>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</si>
  <si>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</si>
  <si>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</si>
  <si>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</si>
  <si>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</si>
  <si>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</si>
  <si>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</si>
  <si>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</si>
  <si>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</si>
  <si>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</si>
  <si>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</si>
  <si>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</si>
  <si>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</si>
  <si>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</si>
  <si>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</si>
  <si>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</si>
  <si>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</si>
  <si>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</si>
  <si>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</si>
  <si>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</si>
  <si>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</si>
  <si>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</si>
  <si>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</si>
  <si>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</si>
  <si>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</si>
  <si>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</si>
  <si>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</si>
  <si>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</si>
  <si>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</si>
  <si>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</si>
  <si>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</si>
  <si>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</si>
  <si>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</si>
  <si>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</si>
  <si>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</si>
  <si>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</si>
  <si>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</si>
  <si>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</si>
  <si>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</si>
  <si>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</si>
  <si>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</si>
  <si>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</si>
  <si>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</si>
  <si>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</si>
  <si>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</si>
  <si>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</si>
  <si>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</si>
  <si>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</si>
  <si>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</si>
  <si>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</si>
  <si>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</si>
  <si>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</si>
  <si>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</si>
  <si>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</si>
  <si>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</si>
  <si>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</si>
  <si>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</si>
  <si>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</si>
  <si>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</si>
  <si>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</si>
  <si>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</si>
  <si>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</si>
  <si>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</si>
  <si>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</si>
  <si>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</si>
  <si>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</si>
  <si>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</si>
  <si>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</si>
  <si>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</si>
  <si>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</si>
  <si>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</si>
  <si>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</si>
  <si>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</si>
  <si>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</si>
  <si>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</si>
  <si>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</si>
  <si>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</si>
  <si>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</si>
  <si>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</si>
  <si>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</si>
  <si>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</si>
  <si>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</si>
  <si>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</si>
  <si>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</si>
  <si>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</si>
  <si>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</si>
  <si>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</si>
  <si>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</si>
  <si>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</si>
  <si>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</si>
  <si>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</si>
  <si>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</si>
  <si>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</si>
  <si>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</si>
  <si>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</si>
  <si>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</si>
  <si>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</si>
  <si>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</si>
  <si>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</si>
  <si>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</si>
  <si>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</si>
  <si>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</si>
  <si>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</si>
  <si>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</si>
  <si>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</si>
  <si>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</si>
  <si>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</si>
  <si>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</si>
  <si>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</si>
  <si>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</si>
  <si>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</si>
  <si>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</si>
  <si>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</si>
  <si>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</si>
  <si>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</si>
  <si>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</si>
  <si>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</si>
  <si>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</si>
  <si>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</si>
  <si>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</si>
  <si>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</si>
  <si>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</si>
  <si>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</si>
  <si>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</si>
  <si>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</si>
  <si>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</si>
  <si>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</si>
  <si>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</si>
  <si>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</si>
  <si>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</si>
  <si>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</si>
  <si>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</si>
  <si>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</si>
  <si>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</si>
  <si>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</si>
  <si>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</si>
  <si>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</si>
  <si>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</si>
  <si>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</si>
  <si>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</si>
  <si>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</si>
  <si>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</si>
  <si>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</si>
  <si>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</si>
  <si>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</si>
  <si>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</si>
  <si>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</si>
  <si>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</si>
  <si>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</si>
  <si>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</si>
  <si>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</si>
  <si>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</si>
  <si>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</si>
  <si>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</si>
  <si>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</si>
  <si>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</si>
  <si>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</si>
  <si>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</si>
  <si>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</si>
  <si>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</si>
  <si>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</si>
  <si>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</si>
  <si>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</si>
  <si>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</si>
  <si>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</si>
  <si>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</si>
  <si>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</si>
  <si>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</si>
  <si>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</si>
  <si>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</si>
  <si>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</si>
  <si>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</si>
  <si>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</si>
  <si>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</si>
  <si>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</si>
  <si>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</si>
  <si>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</si>
  <si>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</si>
  <si>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</si>
  <si>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</si>
  <si>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</si>
  <si>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</si>
  <si>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</si>
  <si>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</si>
  <si>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</si>
  <si>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</si>
  <si>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</si>
  <si>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</si>
  <si>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</si>
  <si>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</si>
  <si>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</si>
  <si>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</si>
  <si>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</si>
  <si>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</si>
  <si>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</si>
  <si>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</si>
  <si>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</si>
  <si>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</si>
  <si>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</si>
  <si>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</si>
  <si>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</si>
  <si>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</si>
  <si>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</si>
  <si>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</si>
  <si>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</si>
  <si>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</si>
  <si>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</si>
  <si>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</si>
  <si>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</si>
  <si>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</si>
  <si>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</si>
  <si>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</si>
  <si>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</si>
  <si>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</si>
  <si>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</si>
  <si>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</si>
  <si>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</si>
  <si>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</si>
  <si>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</si>
  <si>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</si>
  <si>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</si>
  <si>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</si>
  <si>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</si>
  <si>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</si>
  <si>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</si>
  <si>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</si>
  <si>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</si>
  <si>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</si>
  <si>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</si>
  <si>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</si>
  <si>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</si>
  <si>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</si>
  <si>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</si>
  <si>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</si>
  <si>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</si>
  <si>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</si>
  <si>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</si>
  <si>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</si>
  <si>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</si>
  <si>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</si>
  <si>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</si>
  <si>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</si>
  <si>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</si>
  <si>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</si>
  <si>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</si>
  <si>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</si>
  <si>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</si>
  <si>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</si>
  <si>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</si>
  <si>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</si>
  <si>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</si>
  <si>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</si>
  <si>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</si>
  <si>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</si>
  <si>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</si>
  <si>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</si>
  <si>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</si>
  <si>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</si>
  <si>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</si>
  <si>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</si>
  <si>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</si>
  <si>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</si>
  <si>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</si>
  <si>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</si>
  <si>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</si>
  <si>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</si>
  <si>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</si>
  <si>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</si>
  <si>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</si>
  <si>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</si>
  <si>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</si>
  <si>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</si>
  <si>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</si>
  <si>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</si>
  <si>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</si>
  <si>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</si>
  <si>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</si>
  <si>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</si>
  <si>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</si>
  <si>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</si>
  <si>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</si>
  <si>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</si>
  <si>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</si>
  <si>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</si>
  <si>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</si>
  <si>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</si>
  <si>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</si>
  <si>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</si>
  <si>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</si>
  <si>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</si>
  <si>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</si>
  <si>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</si>
  <si>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</si>
  <si>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</si>
  <si>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</si>
  <si>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</si>
  <si>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</si>
  <si>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</si>
  <si>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</si>
  <si>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</si>
  <si>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</si>
  <si>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</si>
  <si>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</si>
  <si>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</si>
  <si>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</si>
  <si>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</si>
  <si>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</si>
  <si>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</si>
  <si>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</si>
  <si>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</si>
  <si>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</si>
  <si>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</si>
  <si>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</si>
  <si>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</si>
  <si>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</si>
  <si>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</si>
  <si>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</si>
  <si>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</si>
  <si>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</si>
  <si>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</si>
  <si>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</si>
  <si>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</si>
  <si>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</si>
  <si>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</si>
  <si>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</si>
  <si>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</si>
  <si>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</si>
  <si>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</si>
  <si>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</si>
  <si>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</si>
  <si>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</si>
  <si>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</si>
  <si>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</si>
  <si>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</si>
  <si>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</si>
  <si>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</si>
  <si>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</si>
  <si>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</si>
  <si>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</si>
  <si>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</si>
  <si>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</si>
  <si>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</si>
  <si>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</si>
  <si>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</si>
  <si>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</si>
  <si>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</si>
  <si>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</si>
  <si>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</si>
  <si>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</si>
  <si>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</si>
  <si>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</si>
  <si>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</si>
  <si>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</si>
  <si>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</si>
  <si>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</si>
  <si>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</si>
  <si>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</si>
  <si>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</si>
  <si>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</si>
  <si>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</si>
  <si>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</si>
  <si>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</si>
  <si>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</si>
  <si>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</si>
  <si>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</si>
  <si>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</si>
  <si>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</si>
  <si>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</si>
  <si>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</si>
  <si>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</si>
  <si>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</si>
  <si>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</si>
  <si>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</si>
  <si>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</si>
  <si>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</si>
  <si>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</si>
  <si>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</si>
  <si>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</si>
  <si>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</si>
  <si>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</si>
  <si>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</si>
  <si>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</si>
  <si>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</si>
  <si>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</si>
  <si>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</si>
  <si>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</si>
  <si>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</si>
  <si>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</si>
  <si>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</si>
  <si>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</si>
  <si>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</si>
  <si>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</si>
  <si>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</si>
  <si>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</si>
  <si>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</si>
  <si>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</si>
  <si>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</si>
  <si>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</si>
  <si>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</si>
  <si>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</si>
  <si>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</si>
  <si>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</si>
  <si>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</si>
  <si>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</si>
  <si>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</si>
  <si>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</si>
  <si>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</si>
  <si>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</si>
  <si>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</si>
  <si>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</si>
  <si>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</si>
  <si>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</si>
  <si>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</si>
  <si>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</si>
  <si>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</si>
  <si>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</si>
  <si>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</si>
  <si>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</si>
  <si>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</si>
  <si>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</si>
  <si>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</si>
  <si>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</si>
  <si>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</si>
  <si>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</si>
  <si>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</si>
  <si>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</si>
  <si>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</si>
  <si>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</si>
  <si>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</si>
  <si>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</si>
  <si>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</si>
  <si>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</si>
  <si>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</si>
  <si>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</si>
  <si>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</si>
  <si>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</si>
  <si>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</si>
  <si>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</si>
  <si>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</si>
  <si>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</si>
  <si>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</si>
  <si>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</si>
  <si>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</si>
  <si>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</si>
  <si>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</si>
  <si>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</si>
  <si>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</si>
  <si>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</si>
  <si>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</si>
  <si>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</si>
  <si>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</si>
  <si>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</si>
  <si>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</si>
  <si>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</si>
  <si>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</si>
  <si>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</si>
  <si>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</si>
  <si>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</si>
  <si>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</si>
  <si>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</si>
  <si>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</si>
  <si>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</si>
  <si>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</si>
  <si>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</si>
  <si>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</si>
  <si>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</si>
  <si>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</si>
  <si>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</si>
  <si>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</si>
  <si>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</si>
  <si>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</si>
  <si>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</si>
  <si>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</si>
  <si>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</si>
  <si>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</si>
  <si>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</si>
  <si>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</si>
  <si>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</si>
  <si>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</si>
  <si>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</si>
  <si>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</si>
  <si>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</si>
  <si>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</si>
  <si>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</si>
  <si>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</si>
  <si>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</si>
  <si>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</si>
  <si>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</si>
  <si>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</si>
  <si>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</si>
  <si>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</si>
  <si>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</si>
  <si>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</si>
  <si>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</si>
  <si>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</si>
  <si>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</si>
  <si>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</si>
  <si>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</si>
  <si>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</si>
  <si>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</si>
  <si>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</si>
  <si>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</si>
  <si>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</si>
  <si>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</si>
  <si>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</si>
  <si>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</si>
  <si>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</si>
  <si>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</si>
  <si>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</si>
  <si>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</si>
  <si>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</si>
  <si>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</si>
  <si>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</si>
  <si>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</si>
  <si>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</si>
  <si>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</si>
  <si>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</si>
  <si>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</si>
  <si>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</si>
  <si>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</si>
  <si>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</si>
  <si>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</si>
  <si>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</si>
  <si>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</si>
  <si>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</si>
  <si>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</si>
  <si>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</si>
  <si>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</si>
  <si>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</si>
  <si>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</si>
  <si>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</si>
  <si>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</si>
  <si>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</si>
  <si>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</si>
  <si>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</si>
  <si>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</si>
  <si>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</si>
  <si>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</si>
  <si>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</si>
  <si>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</si>
  <si>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</si>
  <si>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</si>
  <si>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</si>
  <si>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</si>
  <si>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</si>
  <si>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</si>
  <si>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</si>
  <si>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</si>
  <si>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</si>
  <si>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</si>
  <si>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</si>
  <si>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</si>
  <si>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</si>
  <si>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</si>
  <si>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</si>
  <si>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</si>
  <si>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</si>
  <si>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</si>
  <si>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</si>
  <si>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</si>
  <si>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</si>
  <si>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</si>
  <si>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</si>
  <si>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</si>
  <si>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</si>
  <si>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</si>
  <si>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</si>
  <si>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</si>
  <si>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</si>
  <si>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</si>
  <si>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</si>
  <si>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</si>
  <si>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</si>
  <si>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</si>
  <si>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</si>
  <si>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</si>
  <si>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</si>
  <si>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</si>
  <si>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</si>
  <si>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</si>
  <si>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</si>
  <si>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</si>
  <si>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</si>
  <si>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</si>
  <si>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</si>
  <si>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</si>
  <si>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</si>
  <si>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</si>
  <si>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</si>
  <si>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</si>
  <si>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</si>
  <si>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</si>
  <si>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</si>
  <si>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</si>
  <si>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</si>
  <si>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</si>
  <si>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</si>
  <si>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</si>
  <si>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</si>
  <si>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</si>
  <si>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</si>
  <si>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</si>
  <si>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</si>
  <si>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</si>
  <si>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</si>
  <si>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</si>
  <si>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</si>
  <si>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</si>
  <si>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</si>
  <si>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</si>
  <si>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</si>
  <si>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</si>
  <si>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</si>
  <si>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</si>
  <si>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</si>
  <si>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</si>
  <si>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</si>
  <si>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</si>
  <si>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</si>
  <si>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</si>
  <si>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</si>
  <si>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</si>
  <si>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</si>
  <si>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</si>
  <si>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</si>
  <si>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</si>
  <si>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</si>
  <si>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</si>
  <si>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</si>
  <si>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</si>
  <si>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</si>
  <si>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</si>
  <si>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</si>
  <si>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</si>
  <si>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</si>
  <si>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</si>
  <si>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</si>
  <si>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</si>
  <si>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</si>
  <si>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</si>
  <si>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</si>
  <si>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</si>
  <si>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</si>
  <si>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</si>
  <si>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</si>
  <si>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</si>
  <si>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</si>
  <si>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</si>
  <si>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</si>
  <si>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</si>
  <si>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</si>
  <si>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</si>
  <si>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</si>
  <si>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</si>
  <si>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</si>
  <si>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</si>
  <si>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</si>
  <si>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</si>
  <si>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</si>
  <si>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</si>
  <si>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</si>
  <si>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</si>
  <si>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</si>
  <si>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</si>
  <si>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</si>
  <si>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</si>
  <si>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</si>
  <si>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</si>
  <si>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</si>
  <si>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</si>
  <si>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</si>
  <si>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</si>
  <si>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</si>
  <si>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</si>
  <si>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</si>
  <si>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</si>
  <si>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</si>
  <si>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</si>
  <si>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</si>
  <si>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</si>
  <si>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</si>
  <si>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</si>
  <si>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</si>
  <si>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</si>
  <si>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</si>
  <si>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</si>
  <si>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</si>
  <si>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</si>
  <si>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</si>
  <si>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</si>
  <si>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</si>
  <si>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</si>
  <si>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</si>
  <si>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</si>
  <si>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</si>
  <si>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</si>
  <si>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</si>
  <si>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</si>
  <si>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</si>
  <si>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</si>
  <si>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</si>
  <si>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</si>
  <si>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</si>
  <si>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</si>
  <si>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</si>
  <si>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</si>
  <si>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</si>
  <si>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</si>
  <si>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</si>
  <si>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</si>
  <si>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</si>
  <si>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</si>
  <si>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</si>
  <si>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</si>
  <si>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</si>
  <si>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</si>
  <si>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</si>
  <si>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</si>
  <si>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</si>
  <si>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</si>
  <si>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</si>
  <si>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</si>
  <si>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</si>
  <si>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</si>
  <si>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</si>
  <si>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</si>
  <si>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</si>
  <si>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</si>
  <si>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</si>
  <si>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</si>
  <si>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</si>
  <si>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</si>
  <si>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</si>
  <si>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</si>
  <si>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</si>
  <si>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</si>
  <si>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</si>
  <si>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</si>
  <si>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</si>
  <si>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</si>
  <si>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</si>
  <si>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</si>
  <si>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</si>
  <si>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</si>
  <si>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</si>
  <si>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</si>
  <si>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</si>
  <si>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</si>
  <si>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</si>
  <si>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</si>
  <si>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</si>
  <si>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</si>
  <si>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</si>
  <si>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</si>
  <si>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</si>
  <si>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</si>
  <si>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</si>
  <si>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</si>
  <si>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</si>
  <si>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</si>
  <si>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</si>
  <si>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</si>
  <si>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</si>
  <si>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</si>
  <si>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</si>
  <si>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</si>
  <si>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</si>
  <si>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</si>
  <si>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</si>
  <si>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</si>
  <si>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</si>
  <si>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</si>
  <si>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</si>
  <si>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</si>
  <si>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</si>
  <si>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</si>
  <si>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</si>
  <si>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</si>
  <si>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</si>
  <si>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</si>
  <si>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</si>
  <si>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</si>
  <si>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</si>
  <si>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</si>
  <si>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</si>
  <si>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</si>
  <si>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</si>
  <si>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</si>
  <si>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</si>
  <si>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</si>
  <si>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</si>
  <si>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</si>
  <si>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</si>
  <si>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</si>
  <si>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</si>
  <si>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</si>
  <si>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</si>
  <si>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</si>
  <si>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</si>
  <si>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</si>
  <si>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</si>
  <si>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</si>
  <si>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</si>
  <si>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</si>
  <si>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</si>
  <si>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</si>
  <si>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</si>
  <si>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</si>
  <si>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</si>
  <si>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</si>
  <si>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</si>
  <si>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</si>
  <si>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</si>
  <si>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</si>
  <si>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</si>
  <si>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</si>
  <si>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</si>
  <si>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</si>
  <si>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</si>
  <si>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</si>
  <si>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</si>
  <si>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</si>
  <si>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</si>
  <si>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</si>
  <si>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</si>
  <si>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</si>
  <si>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</si>
  <si>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</si>
  <si>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</si>
  <si>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</si>
  <si>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</si>
  <si>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</si>
  <si>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</si>
  <si>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</si>
  <si>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</si>
  <si>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</si>
  <si>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</si>
  <si>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</si>
  <si>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</si>
  <si>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</si>
  <si>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</si>
  <si>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</si>
  <si>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</si>
  <si>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</si>
  <si>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</si>
  <si>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</si>
  <si>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</si>
  <si>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</si>
  <si>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</si>
  <si>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</si>
  <si>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</si>
  <si>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</si>
  <si>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</si>
  <si>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</si>
  <si>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</si>
  <si>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</si>
  <si>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</si>
  <si>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</si>
  <si>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</si>
  <si>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</si>
  <si>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</si>
  <si>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</si>
  <si>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</si>
  <si>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</si>
  <si>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</si>
  <si>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</si>
  <si>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</si>
  <si>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</si>
  <si>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</si>
  <si>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</si>
  <si>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</si>
  <si>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</si>
  <si>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</si>
  <si>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</si>
  <si>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</si>
  <si>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</si>
  <si>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</si>
  <si>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</si>
  <si>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</si>
  <si>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</si>
  <si>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</si>
  <si>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</si>
  <si>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</si>
  <si>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</si>
  <si>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</si>
  <si>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</si>
  <si>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</si>
  <si>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</si>
  <si>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</si>
  <si>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</si>
  <si>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</si>
  <si>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</si>
  <si>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</si>
  <si>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</si>
  <si>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</si>
  <si>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</si>
  <si>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</si>
  <si>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</si>
  <si>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</si>
  <si>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</si>
  <si>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</si>
  <si>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</si>
  <si>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</si>
  <si>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</si>
  <si>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</si>
  <si>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</si>
  <si>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</si>
  <si>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</si>
  <si>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</si>
  <si>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</si>
  <si>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</si>
  <si>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</si>
  <si>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</si>
  <si>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</si>
  <si>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</si>
  <si>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</si>
  <si>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</si>
  <si>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</si>
  <si>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</si>
  <si>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</si>
  <si>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</si>
  <si>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</si>
  <si>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</si>
  <si>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</si>
  <si>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</si>
  <si>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</si>
  <si>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</si>
  <si>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</si>
  <si>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</si>
  <si>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</si>
  <si>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</si>
  <si>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</si>
  <si>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</si>
  <si>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</si>
  <si>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</si>
  <si>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</si>
  <si>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</si>
  <si>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</si>
  <si>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</si>
  <si>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</si>
  <si>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</si>
  <si>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</si>
  <si>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</si>
  <si>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</si>
  <si>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</si>
  <si>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</si>
  <si>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</si>
  <si>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</si>
  <si>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</si>
  <si>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</si>
  <si>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</si>
  <si>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</si>
  <si>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</si>
  <si>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</si>
  <si>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</si>
  <si>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</si>
  <si>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</si>
  <si>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</si>
  <si>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</si>
  <si>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</si>
  <si>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</si>
  <si>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</si>
  <si>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</si>
  <si>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</si>
  <si>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</si>
  <si>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</si>
  <si>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</si>
  <si>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</si>
  <si>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</si>
  <si>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</si>
  <si>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</si>
  <si>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</si>
  <si>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</si>
  <si>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</si>
  <si>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</si>
  <si>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</si>
  <si>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</si>
  <si>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</si>
  <si>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</si>
  <si>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</si>
  <si>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</si>
  <si>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</si>
  <si>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</si>
  <si>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</si>
  <si>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</si>
  <si>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</si>
  <si>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</si>
  <si>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</si>
  <si>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</si>
  <si>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</si>
  <si>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</si>
  <si>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</si>
  <si>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</si>
  <si>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</si>
  <si>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</si>
  <si>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</si>
  <si>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</si>
  <si>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</si>
  <si>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</si>
  <si>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</si>
  <si>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</si>
  <si>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</si>
  <si>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</si>
  <si>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</si>
  <si>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</si>
  <si>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</si>
  <si>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</si>
  <si>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</si>
  <si>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</si>
  <si>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</si>
  <si>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</si>
  <si>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</si>
  <si>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</si>
  <si>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</si>
  <si>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</si>
  <si>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</si>
  <si>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</si>
  <si>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</si>
  <si>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</si>
  <si>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</si>
  <si>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</si>
  <si>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</si>
  <si>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</si>
  <si>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</si>
  <si>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</si>
  <si>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</si>
  <si>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</si>
  <si>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</si>
  <si>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</si>
  <si>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</si>
  <si>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</si>
  <si>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</si>
  <si>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</si>
  <si>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</si>
  <si>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</si>
  <si>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</si>
  <si>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</si>
  <si>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</si>
  <si>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</si>
  <si>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</si>
  <si>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</si>
  <si>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</si>
  <si>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</si>
  <si>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</si>
  <si>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</si>
  <si>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</si>
  <si>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</si>
  <si>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</si>
  <si>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</si>
  <si>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</si>
  <si>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</si>
  <si>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</si>
  <si>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</si>
  <si>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</si>
  <si>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</si>
  <si>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</si>
  <si>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</si>
  <si>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</si>
  <si>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</si>
  <si>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</si>
  <si>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</si>
  <si>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</si>
  <si>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</si>
  <si>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</si>
  <si>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</si>
  <si>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</si>
  <si>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</si>
  <si>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</si>
  <si>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</si>
  <si>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</si>
  <si>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</si>
  <si>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</si>
  <si>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</si>
  <si>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</si>
  <si>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</si>
  <si>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</si>
  <si>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</si>
  <si>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</si>
  <si>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</si>
  <si>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</si>
  <si>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</si>
  <si>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</si>
  <si>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</si>
  <si>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</si>
  <si>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</si>
  <si>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</si>
  <si>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</si>
  <si>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</si>
  <si>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</si>
  <si>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</si>
  <si>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</si>
  <si>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</si>
  <si>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</si>
  <si>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</si>
  <si>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</si>
  <si>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</si>
  <si>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</si>
  <si>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</si>
  <si>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</si>
  <si>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</si>
  <si>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</si>
  <si>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</si>
  <si>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</si>
  <si>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</si>
  <si>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</si>
  <si>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</si>
  <si>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</si>
  <si>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</si>
  <si>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</si>
  <si>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</si>
  <si>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</si>
  <si>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</si>
  <si>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</si>
  <si>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</si>
  <si>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</si>
  <si>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</si>
  <si>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</si>
  <si>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</si>
  <si>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</si>
  <si>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</si>
  <si>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</si>
  <si>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</si>
  <si>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</si>
  <si>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</si>
  <si>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</si>
  <si>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</si>
  <si>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</si>
  <si>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</si>
  <si>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</si>
  <si>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</si>
  <si>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</si>
  <si>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</si>
  <si>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</si>
  <si>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</si>
  <si>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</si>
  <si>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</si>
  <si>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</si>
  <si>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</si>
  <si>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</si>
  <si>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</si>
  <si>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</si>
  <si>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</si>
  <si>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</si>
  <si>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</si>
  <si>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</si>
  <si>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</si>
  <si>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</si>
  <si>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</si>
  <si>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</si>
  <si>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</si>
  <si>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</si>
  <si>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</si>
  <si>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</si>
  <si>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</si>
  <si>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</si>
  <si>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</si>
  <si>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</si>
  <si>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</si>
  <si>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</si>
  <si>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</si>
  <si>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</si>
  <si>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</si>
  <si>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</si>
  <si>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</si>
  <si>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</si>
  <si>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</si>
  <si>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</si>
  <si>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</si>
  <si>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</si>
  <si>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</si>
  <si>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</si>
  <si>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</si>
  <si>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</si>
  <si>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</si>
  <si>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</si>
  <si>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</si>
  <si>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</si>
  <si>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</si>
  <si>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</si>
  <si>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</si>
  <si>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</si>
  <si>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</si>
  <si>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</si>
  <si>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</si>
  <si>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</si>
  <si>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</si>
  <si>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</si>
  <si>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</si>
  <si>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</si>
  <si>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</si>
  <si>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</si>
  <si>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</si>
  <si>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</si>
  <si>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</si>
  <si>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</si>
  <si>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</si>
  <si>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</si>
  <si>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</si>
  <si>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</si>
  <si>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</si>
  <si>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</si>
  <si>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</si>
  <si>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</si>
  <si>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</si>
  <si>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</si>
  <si>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</si>
  <si>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</si>
  <si>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</si>
  <si>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</si>
  <si>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</si>
  <si>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</si>
  <si>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</si>
  <si>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</si>
  <si>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</si>
  <si>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</si>
  <si>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</si>
  <si>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</si>
  <si>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</si>
  <si>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</si>
  <si>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</si>
  <si>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</si>
  <si>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</si>
  <si>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</si>
  <si>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</si>
  <si>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</si>
  <si>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</si>
  <si>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</si>
  <si>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</si>
  <si>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</si>
  <si>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</si>
  <si>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</si>
  <si>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</si>
  <si>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</si>
  <si>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</si>
  <si>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</si>
  <si>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</si>
  <si>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</si>
  <si>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</si>
  <si>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</si>
  <si>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</si>
  <si>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</si>
  <si>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</si>
  <si>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</si>
  <si>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</si>
  <si>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</si>
  <si>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</si>
  <si>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</si>
  <si>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</si>
  <si>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</si>
  <si>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</si>
  <si>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</si>
  <si>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</si>
  <si>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</si>
  <si>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</si>
  <si>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</si>
  <si>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</si>
  <si>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</si>
  <si>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</si>
  <si>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</si>
  <si>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</si>
  <si>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</si>
  <si>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</si>
  <si>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</si>
  <si>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</si>
  <si>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</si>
  <si>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</si>
  <si>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</si>
  <si>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</si>
  <si>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</si>
  <si>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</si>
  <si>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</si>
  <si>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</si>
  <si>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</si>
  <si>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</si>
  <si>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</si>
  <si>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</si>
  <si>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</si>
  <si>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</si>
  <si>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</si>
  <si>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</si>
  <si>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</si>
  <si>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</si>
  <si>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</si>
  <si>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</si>
  <si>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</si>
  <si>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</si>
  <si>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</si>
  <si>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</si>
  <si>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</si>
  <si>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</si>
  <si>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</si>
  <si>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</si>
  <si>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</si>
  <si>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</si>
  <si>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</si>
  <si>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</si>
  <si>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</si>
  <si>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</si>
  <si>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</si>
  <si>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</si>
  <si>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</si>
  <si>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</si>
  <si>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</si>
  <si>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</si>
  <si>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</si>
  <si>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</si>
  <si>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</si>
  <si>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</si>
  <si>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</si>
  <si>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</si>
  <si>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</si>
  <si>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</si>
  <si>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</si>
  <si>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</si>
  <si>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</si>
  <si>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</si>
  <si>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</si>
  <si>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</si>
  <si>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</si>
  <si>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</si>
  <si>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</si>
  <si>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</si>
  <si>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</si>
  <si>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</si>
  <si>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</si>
  <si>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</si>
  <si>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</si>
  <si>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</si>
  <si>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</si>
  <si>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</si>
  <si>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</si>
  <si>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</si>
  <si>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</si>
  <si>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</si>
  <si>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</si>
  <si>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</si>
  <si>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</si>
  <si>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</si>
  <si>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</si>
  <si>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</si>
  <si>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</si>
  <si>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</si>
  <si>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</si>
  <si>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</si>
  <si>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</si>
  <si>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</si>
  <si>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</si>
  <si>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</si>
  <si>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</si>
  <si>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</si>
  <si>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</si>
  <si>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</si>
  <si>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</si>
  <si>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</si>
  <si>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</si>
  <si>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</si>
  <si>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</si>
  <si>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</si>
  <si>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</si>
  <si>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</si>
  <si>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</si>
  <si>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</si>
  <si>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</si>
  <si>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</si>
  <si>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</si>
  <si>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</si>
  <si>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</si>
  <si>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</si>
  <si>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</si>
  <si>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</si>
  <si>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</si>
  <si>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</si>
  <si>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</si>
  <si>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</si>
  <si>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</si>
  <si>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</si>
  <si>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</si>
  <si>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</si>
  <si>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</si>
  <si>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</si>
  <si>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</si>
  <si>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</si>
  <si>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</si>
  <si>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</si>
  <si>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</si>
  <si>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</si>
  <si>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</si>
  <si>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</si>
  <si>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</si>
  <si>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</si>
  <si>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</si>
  <si>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</si>
  <si>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</si>
  <si>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</si>
  <si>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</si>
  <si>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</si>
  <si>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</si>
  <si>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</si>
  <si>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</si>
  <si>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</si>
  <si>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</si>
  <si>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</si>
  <si>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</si>
  <si>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</si>
  <si>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</si>
  <si>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</si>
  <si>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</si>
  <si>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</si>
  <si>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</si>
  <si>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</si>
  <si>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</si>
  <si>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</si>
  <si>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</si>
  <si>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</si>
  <si>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</si>
  <si>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</si>
  <si>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</si>
  <si>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</si>
  <si>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</si>
  <si>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</si>
  <si>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</si>
  <si>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</si>
  <si>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</si>
  <si>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</si>
  <si>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</si>
  <si>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</si>
  <si>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</si>
  <si>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</si>
  <si>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</si>
  <si>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</si>
  <si>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</si>
  <si>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</si>
  <si>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</si>
  <si>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</si>
  <si>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</si>
  <si>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</si>
  <si>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</si>
  <si>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</si>
  <si>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</si>
  <si>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</si>
  <si>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</si>
  <si>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</si>
  <si>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</si>
  <si>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</si>
  <si>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</si>
  <si>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</si>
  <si>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</si>
  <si>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</si>
  <si>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</si>
  <si>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</si>
  <si>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</si>
  <si>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</si>
  <si>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</si>
  <si>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</si>
  <si>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</si>
  <si>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</si>
  <si>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</si>
  <si>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</si>
  <si>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</si>
  <si>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</si>
  <si>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</si>
  <si>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</si>
  <si>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</si>
  <si>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</si>
  <si>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</si>
  <si>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</si>
  <si>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</si>
  <si>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</si>
  <si>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</si>
  <si>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</si>
  <si>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</si>
  <si>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</si>
  <si>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</si>
  <si>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</si>
  <si>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</si>
  <si>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</si>
  <si>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</si>
  <si>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</si>
  <si>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</si>
  <si>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</si>
  <si>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</si>
  <si>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</si>
  <si>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</si>
  <si>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</si>
  <si>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</si>
  <si>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</si>
  <si>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</si>
  <si>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</si>
  <si>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</si>
  <si>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</si>
  <si>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</si>
  <si>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</si>
  <si>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</si>
  <si>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</si>
  <si>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</si>
  <si>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</si>
  <si>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</si>
  <si>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</si>
  <si>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</si>
  <si>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</si>
  <si>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</si>
  <si>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</si>
  <si>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</si>
  <si>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</si>
  <si>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</si>
  <si>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</si>
  <si>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</si>
  <si>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</si>
  <si>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</si>
  <si>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</si>
  <si>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</si>
  <si>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</si>
  <si>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</si>
  <si>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</si>
  <si>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</si>
  <si>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</si>
  <si>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</si>
  <si>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</si>
  <si>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</si>
  <si>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</si>
  <si>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</si>
  <si>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</si>
  <si>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</si>
  <si>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</si>
  <si>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</si>
  <si>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</si>
  <si>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</si>
  <si>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</si>
  <si>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</si>
  <si>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</si>
  <si>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</si>
  <si>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</si>
  <si>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</si>
  <si>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</si>
  <si>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</si>
  <si>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</si>
  <si>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</si>
  <si>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</si>
  <si>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</si>
  <si>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</si>
  <si>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</si>
  <si>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</si>
  <si>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</si>
  <si>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</si>
  <si>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</si>
  <si>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</si>
  <si>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</si>
  <si>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</si>
  <si>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</si>
  <si>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</si>
  <si>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</si>
  <si>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</si>
  <si>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</si>
  <si>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</si>
  <si>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</si>
  <si>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</si>
  <si>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</si>
  <si>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</si>
  <si>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</si>
  <si>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</si>
  <si>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</si>
  <si>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</si>
  <si>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</si>
  <si>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</si>
  <si>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</si>
  <si>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</si>
  <si>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</si>
  <si>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</si>
  <si>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</si>
  <si>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</si>
  <si>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</si>
  <si>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</si>
  <si>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</si>
  <si>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</si>
  <si>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</si>
  <si>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</si>
  <si>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</si>
  <si>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</si>
  <si>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</si>
  <si>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</si>
  <si>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</si>
  <si>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</si>
  <si>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</si>
  <si>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</si>
  <si>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</si>
  <si>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</si>
  <si>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</si>
  <si>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</si>
  <si>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</si>
  <si>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</si>
  <si>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</si>
  <si>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</si>
  <si>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</si>
  <si>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</si>
  <si>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</si>
  <si>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</si>
  <si>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</si>
  <si>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</si>
  <si>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</si>
  <si>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</si>
  <si>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</si>
  <si>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</si>
  <si>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</si>
  <si>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</si>
  <si>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</si>
  <si>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</si>
  <si>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</si>
  <si>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</si>
  <si>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</si>
  <si>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</si>
  <si>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</si>
  <si>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</si>
  <si>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</si>
  <si>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</si>
  <si>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</si>
  <si>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</si>
  <si>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</si>
  <si>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</si>
  <si>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</si>
  <si>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</si>
  <si>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</si>
  <si>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</si>
  <si>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</si>
  <si>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</si>
  <si>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</si>
  <si>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</si>
  <si>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</si>
  <si>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</si>
  <si>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</si>
  <si>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</si>
  <si>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</si>
  <si>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</si>
  <si>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</si>
  <si>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</si>
  <si>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</si>
  <si>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</si>
  <si>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</si>
  <si>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</si>
  <si>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</si>
  <si>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</si>
  <si>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</si>
  <si>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</si>
  <si>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</si>
  <si>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</si>
  <si>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</si>
  <si>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</si>
  <si>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</si>
  <si>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</si>
  <si>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</si>
  <si>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</si>
  <si>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</si>
  <si>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</si>
  <si>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</si>
  <si>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</si>
  <si>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</si>
  <si>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</si>
  <si>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</si>
  <si>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</si>
  <si>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</si>
  <si>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</si>
  <si>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</si>
  <si>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</si>
  <si>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</si>
  <si>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</si>
  <si>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</si>
  <si>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</si>
  <si>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</si>
  <si>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</si>
  <si>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</si>
  <si>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</si>
  <si>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</si>
  <si>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</si>
  <si>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</si>
  <si>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</si>
  <si>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</si>
  <si>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</si>
  <si>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</si>
  <si>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</si>
  <si>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</si>
  <si>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</si>
  <si>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</si>
  <si>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</si>
  <si>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</si>
  <si>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</si>
  <si>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</si>
  <si>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</si>
  <si>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</si>
  <si>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</si>
  <si>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</si>
  <si>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</si>
  <si>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</si>
  <si>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</si>
  <si>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</si>
  <si>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</si>
  <si>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</si>
  <si>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</si>
  <si>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</si>
  <si>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</si>
  <si>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</si>
  <si>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</si>
  <si>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</si>
  <si>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</si>
  <si>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</si>
  <si>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</si>
  <si>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</si>
  <si>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</si>
  <si>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</si>
  <si>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</si>
  <si>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</si>
  <si>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</si>
  <si>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</si>
  <si>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</si>
  <si>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</si>
  <si>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</si>
  <si>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</si>
  <si>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</si>
  <si>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</si>
  <si>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</si>
  <si>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</si>
  <si>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</si>
  <si>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</si>
  <si>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</si>
  <si>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</si>
  <si>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</si>
  <si>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</si>
  <si>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</si>
  <si>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</si>
  <si>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</si>
  <si>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</si>
  <si>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</si>
  <si>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</si>
  <si>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</si>
  <si>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</si>
  <si>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</si>
  <si>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</si>
  <si>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</si>
  <si>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</si>
  <si>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</si>
  <si>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</si>
  <si>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</si>
  <si>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</si>
  <si>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</si>
  <si>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</si>
  <si>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</si>
  <si>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</si>
  <si>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</si>
  <si>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</si>
  <si>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</si>
  <si>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</si>
  <si>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</si>
  <si>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</si>
  <si>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</si>
  <si>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</si>
  <si>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</si>
  <si>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</si>
  <si>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</si>
  <si>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</si>
  <si>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</si>
  <si>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</si>
  <si>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</si>
  <si>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</si>
  <si>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</si>
  <si>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</si>
  <si>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</si>
  <si>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</si>
  <si>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</si>
  <si>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</si>
  <si>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</si>
  <si>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</si>
  <si>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</si>
  <si>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</si>
  <si>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</si>
  <si>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</si>
  <si>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</si>
  <si>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</si>
  <si>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</si>
  <si>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</si>
  <si>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</si>
  <si>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</si>
  <si>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</si>
  <si>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</si>
  <si>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</si>
  <si>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</si>
  <si>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</si>
  <si>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</si>
  <si>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</si>
  <si>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</si>
  <si>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</si>
  <si>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</si>
  <si>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</si>
  <si>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</si>
  <si>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</si>
  <si>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</si>
  <si>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</si>
  <si>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</si>
  <si>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</si>
  <si>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</si>
  <si>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</si>
  <si>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</si>
  <si>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</si>
  <si>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</si>
  <si>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</si>
  <si>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</si>
  <si>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</si>
  <si>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</si>
  <si>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</si>
  <si>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</si>
  <si>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</si>
  <si>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</si>
  <si>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</si>
  <si>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</si>
  <si>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</si>
  <si>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</si>
  <si>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</si>
  <si>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</si>
  <si>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</si>
  <si>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</si>
  <si>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</si>
  <si>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</si>
  <si>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</si>
  <si>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</si>
  <si>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</si>
  <si>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</si>
  <si>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</si>
  <si>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</si>
  <si>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</si>
  <si>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</si>
  <si>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</si>
  <si>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</si>
  <si>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</si>
  <si>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</si>
  <si>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</si>
  <si>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</si>
  <si>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</si>
  <si>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</si>
  <si>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</si>
  <si>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</si>
  <si>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</si>
  <si>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</si>
  <si>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</si>
  <si>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</si>
  <si>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</si>
  <si>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</si>
  <si>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</si>
  <si>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</si>
  <si>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</si>
  <si>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</si>
  <si>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</si>
  <si>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</si>
  <si>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</si>
  <si>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</si>
  <si>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</si>
  <si>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</si>
  <si>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</si>
  <si>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</si>
  <si>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</si>
  <si>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</si>
  <si>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</si>
  <si>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</si>
  <si>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</si>
  <si>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</si>
  <si>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</si>
  <si>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</si>
  <si>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</si>
  <si>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</si>
  <si>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</si>
  <si>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</si>
  <si>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</si>
  <si>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</si>
  <si>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</si>
  <si>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</si>
  <si>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</si>
  <si>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</si>
  <si>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</si>
  <si>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</si>
  <si>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</si>
  <si>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</si>
  <si>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</si>
  <si>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</si>
  <si>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</si>
  <si>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</si>
  <si>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</si>
  <si>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</si>
  <si>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</si>
  <si>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</si>
  <si>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</si>
  <si>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</si>
  <si>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</si>
  <si>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</si>
  <si>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</si>
  <si>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</si>
  <si>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</si>
  <si>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</si>
  <si>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</si>
  <si>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</si>
  <si>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</si>
  <si>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</si>
  <si>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</si>
  <si>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</si>
  <si>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</si>
  <si>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</si>
  <si>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</si>
  <si>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</si>
  <si>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</si>
  <si>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</si>
  <si>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</si>
  <si>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</si>
  <si>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</si>
  <si>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</si>
  <si>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</si>
  <si>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Hugues Tuphile</t>
  </si>
  <si>
    <t xml:space="preserve">conforme AFNOR T90-395 oct. 2003</t>
  </si>
  <si>
    <t xml:space="preserve">Durance</t>
  </si>
  <si>
    <t xml:space="preserve">Rochebrune</t>
  </si>
  <si>
    <t xml:space="preserve">06152700</t>
  </si>
  <si>
    <t xml:space="preserve">RCS PACA 2013</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</si>
  <si>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</si>
  <si>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</si>
  <si>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</si>
  <si>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</si>
  <si>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</si>
  <si>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</si>
  <si>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</si>
  <si>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</si>
  <si>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</si>
  <si>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</si>
  <si>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faible</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</si>
  <si>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</si>
  <si>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</si>
  <si>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</si>
  <si>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</si>
  <si>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</si>
  <si>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</si>
  <si>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</si>
  <si>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</si>
  <si>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</si>
  <si>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</si>
  <si>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</si>
  <si>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</si>
  <si>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</si>
  <si>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</si>
  <si>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</si>
  <si>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</si>
  <si>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</si>
  <si>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</si>
  <si>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</si>
  <si>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</si>
  <si>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</si>
  <si>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</si>
  <si>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</si>
  <si>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</si>
  <si>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</si>
  <si>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</si>
  <si>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</si>
  <si>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</si>
  <si>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</si>
  <si>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</si>
  <si>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</si>
  <si>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</si>
  <si>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</si>
  <si>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</si>
  <si>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</si>
  <si>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</si>
  <si>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</si>
  <si>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</si>
  <si>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</si>
  <si>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(5,25375 %)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</si>
  <si>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</si>
  <si>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</si>
  <si>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</si>
  <si>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</si>
  <si>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</si>
  <si>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</si>
  <si>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</si>
  <si>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</si>
  <si>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</si>
  <si>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</si>
  <si>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</si>
  <si>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</si>
  <si>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</si>
  <si>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</si>
  <si>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</si>
  <si>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</si>
  <si>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</si>
  <si>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</si>
  <si>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</si>
  <si>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</si>
  <si>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Cymbellaceae</t>
  </si>
  <si>
    <t xml:space="preserve">Didymosphenia sp.</t>
  </si>
  <si>
    <t xml:space="preserve">Didymodon tophaceus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</si>
  <si>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</si>
  <si>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</si>
  <si>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</si>
  <si>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</si>
  <si>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</si>
  <si>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</si>
  <si>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</si>
  <si>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</si>
  <si>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</si>
  <si>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</si>
  <si>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</si>
  <si>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</si>
  <si>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</si>
  <si>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</si>
  <si>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</si>
  <si>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</si>
  <si>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</si>
  <si>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</si>
  <si>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</si>
  <si>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</si>
  <si>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</si>
  <si>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</si>
  <si>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</si>
  <si>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</si>
  <si>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</si>
  <si>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</si>
  <si>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</si>
  <si>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</si>
  <si>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</si>
  <si>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</si>
  <si>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</si>
  <si>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</si>
  <si>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Angelica archangelica</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</si>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</sst>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7">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4" borderId="58" xfId="0" applyFont="true" applyBorder="true" applyAlignment="true" applyProtection="true">
      <alignment horizontal="left" vertical="top" textRotation="0" wrapText="false" indent="0" shrinkToFit="false"/>
      <protection locked="true" hidden="true"/>
    </xf>
    <xf numFmtId="172" fontId="20" fillId="1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2" fillId="14" borderId="71" xfId="0" applyFont="true" applyBorder="true" applyAlignment="true" applyProtection="true">
      <alignment horizontal="center" vertical="top" textRotation="0" wrapText="false" indent="0" shrinkToFit="false"/>
      <protection locked="true" hidden="true"/>
    </xf>
    <xf numFmtId="164" fontId="93" fillId="11" borderId="60" xfId="0" applyFont="true" applyBorder="true" applyAlignment="true" applyProtection="true">
      <alignment horizontal="center" vertical="top" textRotation="0" wrapText="false" indent="0" shrinkToFit="false"/>
      <protection locked="true" hidden="true"/>
    </xf>
    <xf numFmtId="164" fontId="94"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5"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6" fillId="12" borderId="32" xfId="0" applyFont="true" applyBorder="true" applyAlignment="true" applyProtection="true">
      <alignment horizontal="left" vertical="top" textRotation="0" wrapText="false" indent="0" shrinkToFit="false"/>
      <protection locked="true" hidden="true"/>
    </xf>
    <xf numFmtId="164" fontId="97" fillId="12" borderId="33" xfId="0" applyFont="true" applyBorder="true" applyAlignment="true" applyProtection="true">
      <alignment horizontal="left" vertical="top" textRotation="0" wrapText="false" indent="0" shrinkToFit="false"/>
      <protection locked="true" hidden="true"/>
    </xf>
    <xf numFmtId="164" fontId="97" fillId="12" borderId="72" xfId="0" applyFont="true" applyBorder="true" applyAlignment="true" applyProtection="true">
      <alignment horizontal="left" vertical="top" textRotation="0" wrapText="false" indent="0" shrinkToFit="false"/>
      <protection locked="true" hidden="true"/>
    </xf>
    <xf numFmtId="164" fontId="97"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8" fillId="9" borderId="61" xfId="0" applyFont="true" applyBorder="true" applyAlignment="false" applyProtection="true">
      <alignment horizontal="general" vertical="bottom" textRotation="0" wrapText="false" indent="0" shrinkToFit="false"/>
      <protection locked="true" hidden="true"/>
    </xf>
    <xf numFmtId="164" fontId="20" fillId="15" borderId="51" xfId="0" applyFont="true" applyBorder="true" applyAlignment="true" applyProtection="true">
      <alignment horizontal="center" vertical="bottom" textRotation="0" wrapText="false" indent="0" shrinkToFit="false"/>
      <protection locked="false" hidden="false"/>
    </xf>
    <xf numFmtId="172" fontId="20" fillId="15"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5" borderId="79" xfId="0" applyFont="true" applyBorder="true" applyAlignment="true" applyProtection="true">
      <alignment horizontal="center" vertical="bottom" textRotation="0" wrapText="false" indent="0" shrinkToFit="false"/>
      <protection locked="false" hidden="false"/>
    </xf>
    <xf numFmtId="172" fontId="20" fillId="15"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5" borderId="83" xfId="0" applyFont="true" applyBorder="true" applyAlignment="true" applyProtection="true">
      <alignment horizontal="center" vertical="bottom" textRotation="0" wrapText="false" indent="0" shrinkToFit="false"/>
      <protection locked="false" hidden="false"/>
    </xf>
    <xf numFmtId="172" fontId="20" fillId="15"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6"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7"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5" borderId="87" xfId="0" applyFont="true" applyBorder="true" applyAlignment="true" applyProtection="true">
      <alignment horizontal="center" vertical="bottom" textRotation="0" wrapText="false" indent="0" shrinkToFit="false"/>
      <protection locked="false" hidden="false"/>
    </xf>
    <xf numFmtId="172" fontId="20" fillId="15"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5" borderId="90" xfId="0" applyFont="true" applyBorder="true" applyAlignment="true" applyProtection="true">
      <alignment horizontal="center" vertical="bottom" textRotation="0" wrapText="false" indent="0" shrinkToFit="false"/>
      <protection locked="false" hidden="false"/>
    </xf>
    <xf numFmtId="172" fontId="20" fillId="15"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9" fillId="0" borderId="0" xfId="0" applyFont="true" applyBorder="false" applyAlignment="false" applyProtection="true">
      <alignment horizontal="general" vertical="bottom" textRotation="0" wrapText="false" indent="0" shrinkToFit="false"/>
      <protection locked="true" hidden="true"/>
    </xf>
    <xf numFmtId="174" fontId="99" fillId="10" borderId="47" xfId="0" applyFont="true" applyBorder="true" applyAlignment="false" applyProtection="true">
      <alignment horizontal="general" vertical="bottom" textRotation="0" wrapText="false" indent="0" shrinkToFit="false"/>
      <protection locked="true" hidden="true"/>
    </xf>
    <xf numFmtId="164" fontId="99"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1"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9"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2" fillId="9" borderId="0" xfId="0" applyFont="true" applyBorder="true" applyAlignment="false" applyProtection="true">
      <alignment horizontal="general" vertical="bottom" textRotation="0" wrapText="false" indent="0" shrinkToFit="false"/>
      <protection locked="true" hidden="true"/>
    </xf>
    <xf numFmtId="164" fontId="102" fillId="9" borderId="33" xfId="0" applyFont="true" applyBorder="true" applyAlignment="false" applyProtection="true">
      <alignment horizontal="general" vertical="bottom" textRotation="0" wrapText="false" indent="0" shrinkToFit="false"/>
      <protection locked="true" hidden="true"/>
    </xf>
    <xf numFmtId="164" fontId="102"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1" fillId="9" borderId="61" xfId="0" applyFont="true" applyBorder="true" applyAlignment="true" applyProtection="true">
      <alignment horizontal="center" vertical="bottom" textRotation="0" wrapText="false" indent="0" shrinkToFit="false"/>
      <protection locked="true" hidden="true"/>
    </xf>
    <xf numFmtId="175" fontId="101"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6"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1" fillId="10" borderId="39" xfId="0" applyFont="true" applyBorder="true" applyAlignment="true" applyProtection="true">
      <alignment horizontal="right" vertical="bottom" textRotation="0" wrapText="false" indent="0" shrinkToFit="false"/>
      <protection locked="true" hidden="true"/>
    </xf>
    <xf numFmtId="174" fontId="101"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1" fillId="6" borderId="0" xfId="0" applyFont="true" applyBorder="false" applyAlignment="false" applyProtection="true">
      <alignment horizontal="general" vertical="bottom" textRotation="0" wrapText="false" indent="0" shrinkToFit="false"/>
      <protection locked="true" hidden="true"/>
    </xf>
    <xf numFmtId="164" fontId="102"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2"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1"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1" fillId="10" borderId="43" xfId="0" applyFont="true" applyBorder="true" applyAlignment="true" applyProtection="true">
      <alignment horizontal="right" vertical="bottom" textRotation="0" wrapText="false" indent="0" shrinkToFit="false"/>
      <protection locked="true" hidden="true"/>
    </xf>
    <xf numFmtId="174" fontId="101" fillId="10" borderId="43" xfId="0" applyFont="true" applyBorder="true" applyAlignment="true" applyProtection="false">
      <alignment horizontal="right" vertical="bottom" textRotation="0" wrapText="false" indent="0" shrinkToFit="false"/>
      <protection locked="true" hidden="false"/>
    </xf>
    <xf numFmtId="164" fontId="102"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3"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92"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6" borderId="29" xfId="0" applyFont="true" applyBorder="true" applyAlignment="false" applyProtection="false">
      <alignment horizontal="general" vertical="bottom" textRotation="0" wrapText="false" indent="0" shrinkToFit="false"/>
      <protection locked="true" hidden="false"/>
    </xf>
    <xf numFmtId="164" fontId="0" fillId="16" borderId="94" xfId="0" applyFont="false" applyBorder="true" applyAlignment="false" applyProtection="false">
      <alignment horizontal="general" vertical="bottom" textRotation="0" wrapText="false" indent="0" shrinkToFit="false"/>
      <protection locked="true" hidden="false"/>
    </xf>
    <xf numFmtId="164" fontId="0" fillId="16"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6"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6" fillId="9" borderId="19" xfId="0" applyFont="true" applyBorder="true" applyAlignment="true" applyProtection="false">
      <alignment horizontal="left" vertical="bottom" textRotation="0" wrapText="false" indent="0" shrinkToFit="false"/>
      <protection locked="true" hidden="false"/>
    </xf>
    <xf numFmtId="164" fontId="96"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60840</xdr:rowOff>
    </xdr:from>
    <xdr:to>
      <xdr:col>7</xdr:col>
      <xdr:colOff>454320</xdr:colOff>
      <xdr:row>38</xdr:row>
      <xdr:rowOff>60840</xdr:rowOff>
    </xdr:to>
    <xdr:sp>
      <xdr:nvSpPr>
        <xdr:cNvPr id="3" name="Text Box 1"/>
        <xdr:cNvSpPr/>
      </xdr:nvSpPr>
      <xdr:spPr>
        <a:xfrm>
          <a:off x="133200" y="6103440"/>
          <a:ext cx="5971320" cy="33552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6"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8280</xdr:colOff>
      <xdr:row>0</xdr:row>
      <xdr:rowOff>7920</xdr:rowOff>
    </xdr:from>
    <xdr:to>
      <xdr:col>22</xdr:col>
      <xdr:colOff>1574280</xdr:colOff>
      <xdr:row>1</xdr:row>
      <xdr:rowOff>68760</xdr:rowOff>
    </xdr:to>
    <xdr:clientData/>
  </xdr:twoCellAnchor>
  <xdr:twoCellAnchor editAs="oneCell">
    <xdr:from>
      <xdr:col>22</xdr:col>
      <xdr:colOff>8280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8280</xdr:colOff>
      <xdr:row>2</xdr:row>
      <xdr:rowOff>129240</xdr:rowOff>
    </xdr:from>
    <xdr:to>
      <xdr:col>22</xdr:col>
      <xdr:colOff>1574280</xdr:colOff>
      <xdr:row>4</xdr:row>
      <xdr:rowOff>30600</xdr:rowOff>
    </xdr:to>
    <xdr:clientData/>
  </xdr:twoCellAnchor>
  <xdr:twoCellAnchor editAs="oneCell">
    <xdr:from>
      <xdr:col>22</xdr:col>
      <xdr:colOff>8280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9CC00"/>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41521</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12.6129032258065</v>
      </c>
      <c r="M5" s="323"/>
      <c r="N5" s="324" t="s">
        <v>69</v>
      </c>
      <c r="O5" s="325" t="n">
        <v>11.8</v>
      </c>
      <c r="P5" s="326"/>
      <c r="Q5" s="280"/>
      <c r="R5" s="280"/>
      <c r="S5" s="280"/>
      <c r="T5" s="280"/>
      <c r="U5" s="280"/>
      <c r="V5" s="280"/>
      <c r="W5" s="292"/>
      <c r="X5" s="312"/>
    </row>
    <row r="6" customFormat="false" ht="13.8"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3.2" hidden="false" customHeight="false" outlineLevel="0" collapsed="false">
      <c r="A7" s="335" t="s">
        <v>2629</v>
      </c>
      <c r="B7" s="336" t="n">
        <v>61</v>
      </c>
      <c r="C7" s="337" t="n">
        <v>39</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10.2857142857143</v>
      </c>
      <c r="O8" s="354" t="n">
        <f aca="false">IF(ISERROR(AVERAGE(J23:J82)),"      -",AVERAGE(J23:J82))</f>
        <v>1.57142857142857</v>
      </c>
      <c r="P8" s="355"/>
      <c r="Q8" s="280"/>
      <c r="R8" s="280"/>
      <c r="S8" s="280"/>
      <c r="T8" s="280"/>
      <c r="U8" s="280"/>
      <c r="V8" s="280"/>
      <c r="W8" s="292"/>
      <c r="X8" s="293"/>
    </row>
    <row r="9" customFormat="false" ht="13.8" hidden="false" customHeight="false" outlineLevel="0" collapsed="false">
      <c r="A9" s="313" t="s">
        <v>2635</v>
      </c>
      <c r="B9" s="356" t="n">
        <v>7.15</v>
      </c>
      <c r="C9" s="357" t="n">
        <v>2.28</v>
      </c>
      <c r="D9" s="358"/>
      <c r="E9" s="358"/>
      <c r="F9" s="359" t="n">
        <f aca="false">($B9*$B$7+$C9*$C$7)/100</f>
        <v>5.2507</v>
      </c>
      <c r="G9" s="360"/>
      <c r="H9" s="361"/>
      <c r="I9" s="362"/>
      <c r="J9" s="363"/>
      <c r="K9" s="343"/>
      <c r="L9" s="364"/>
      <c r="M9" s="353" t="s">
        <v>2636</v>
      </c>
      <c r="N9" s="354" t="n">
        <f aca="false">IF(ISERROR(STDEVP(I23:I82)),"     -",STDEVP(I23:I82))</f>
        <v>5.13292692092048</v>
      </c>
      <c r="O9" s="354" t="n">
        <f aca="false">IF(ISERROR(STDEVP(J23:J82)),"      -",STDEVP(J23:J82))</f>
        <v>0.903507902905251</v>
      </c>
      <c r="P9" s="355"/>
      <c r="Q9" s="280"/>
      <c r="R9" s="280"/>
      <c r="S9" s="280"/>
      <c r="T9" s="280"/>
      <c r="U9" s="280"/>
      <c r="V9" s="280"/>
      <c r="W9" s="365"/>
      <c r="X9" s="366"/>
    </row>
    <row r="10" customFormat="false" ht="13.8" hidden="false" customHeight="false" outlineLevel="0" collapsed="false">
      <c r="A10" s="367" t="s">
        <v>2637</v>
      </c>
      <c r="B10" s="368" t="s">
        <v>2638</v>
      </c>
      <c r="C10" s="369" t="s">
        <v>2639</v>
      </c>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18</v>
      </c>
      <c r="O11" s="376" t="n">
        <f aca="false">MAX(J23:J82)</f>
        <v>3</v>
      </c>
      <c r="P11" s="377"/>
      <c r="Q11" s="280"/>
      <c r="R11" s="280"/>
      <c r="S11" s="280"/>
      <c r="T11" s="280"/>
      <c r="U11" s="280"/>
      <c r="V11" s="280"/>
    </row>
    <row r="12" customFormat="false" ht="13.2"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8</v>
      </c>
      <c r="L12" s="392"/>
      <c r="M12" s="393"/>
      <c r="N12" s="394" t="s">
        <v>2640</v>
      </c>
      <c r="O12" s="395"/>
      <c r="P12" s="396"/>
      <c r="Q12" s="280"/>
      <c r="R12" s="280"/>
      <c r="S12" s="280"/>
      <c r="T12" s="280"/>
      <c r="U12" s="280"/>
      <c r="V12" s="280"/>
    </row>
    <row r="13" customFormat="false" ht="13.2"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2</v>
      </c>
      <c r="L13" s="386"/>
      <c r="M13" s="397" t="s">
        <v>2649</v>
      </c>
      <c r="N13" s="398" t="n">
        <f aca="false">COUNTIF(F23:F82,"&gt;0")</f>
        <v>17</v>
      </c>
      <c r="O13" s="399"/>
      <c r="P13" s="400"/>
      <c r="Q13" s="280"/>
      <c r="R13" s="280"/>
      <c r="S13" s="280"/>
      <c r="T13" s="280"/>
      <c r="U13" s="280"/>
      <c r="V13" s="280"/>
    </row>
    <row r="14" customFormat="false" ht="13.2"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1</v>
      </c>
      <c r="L14" s="386"/>
      <c r="M14" s="401" t="s">
        <v>2652</v>
      </c>
      <c r="N14" s="402" t="n">
        <f aca="false">COUNTIF($I$23:$I$82,"&gt;-1")</f>
        <v>14</v>
      </c>
      <c r="O14" s="403"/>
      <c r="P14" s="400"/>
      <c r="Q14" s="280"/>
      <c r="R14" s="280"/>
      <c r="S14" s="280"/>
      <c r="T14" s="280"/>
      <c r="U14" s="280"/>
      <c r="V14" s="280"/>
    </row>
    <row r="15" customFormat="false" ht="13.2"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3</v>
      </c>
      <c r="L15" s="386"/>
      <c r="M15" s="407" t="s">
        <v>2655</v>
      </c>
      <c r="N15" s="408" t="n">
        <f aca="false">COUNTIF(J23:J82,"=1")</f>
        <v>4</v>
      </c>
      <c r="O15" s="409"/>
      <c r="P15" s="400"/>
      <c r="Q15" s="280"/>
      <c r="R15" s="280"/>
      <c r="S15" s="280"/>
      <c r="T15" s="280"/>
      <c r="U15" s="280"/>
      <c r="V15" s="280"/>
    </row>
    <row r="16" customFormat="false" ht="13.2"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6</v>
      </c>
      <c r="O16" s="409"/>
      <c r="P16" s="400"/>
      <c r="Q16" s="280"/>
      <c r="R16" s="280"/>
      <c r="S16" s="280"/>
      <c r="T16" s="280"/>
      <c r="U16" s="280"/>
      <c r="V16" s="280"/>
    </row>
    <row r="17" customFormat="false" ht="13.2"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2</v>
      </c>
      <c r="O17" s="409"/>
      <c r="P17" s="400"/>
      <c r="Q17" s="280"/>
      <c r="R17" s="280"/>
      <c r="S17" s="280"/>
      <c r="T17" s="280"/>
      <c r="U17" s="280"/>
      <c r="V17" s="280"/>
    </row>
    <row r="18" customFormat="false" ht="13.2"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2662</v>
      </c>
      <c r="B20" s="435" t="n">
        <f aca="false">SUM(B23:B82)</f>
        <v>7.155</v>
      </c>
      <c r="C20" s="436" t="n">
        <f aca="false">SUM(C23:C82)</f>
        <v>2.28</v>
      </c>
      <c r="D20" s="437"/>
      <c r="E20" s="438" t="s">
        <v>2661</v>
      </c>
      <c r="F20" s="439" t="n">
        <f aca="false">($B20*$B$7+$C20*$C$7)/100</f>
        <v>5.25375</v>
      </c>
      <c r="G20" s="440"/>
      <c r="H20" s="441"/>
      <c r="I20" s="442"/>
      <c r="J20" s="442"/>
      <c r="K20" s="443"/>
      <c r="L20" s="317"/>
      <c r="M20" s="444"/>
      <c r="N20" s="444"/>
      <c r="O20" s="445"/>
      <c r="P20" s="446"/>
      <c r="Q20" s="447" t="s">
        <v>2663</v>
      </c>
      <c r="R20" s="280"/>
      <c r="S20" s="280"/>
      <c r="T20" s="280"/>
      <c r="U20" s="280"/>
      <c r="V20" s="280"/>
      <c r="W20" s="420" t="s">
        <v>2664</v>
      </c>
    </row>
    <row r="21" customFormat="false" ht="13.2" hidden="false" customHeight="false" outlineLevel="0" collapsed="false">
      <c r="A21" s="448" t="s">
        <v>2665</v>
      </c>
      <c r="B21" s="449" t="n">
        <f aca="false">B20*B7/100</f>
        <v>4.36455</v>
      </c>
      <c r="C21" s="449" t="n">
        <f aca="false">C20*C7/100</f>
        <v>0.8892</v>
      </c>
      <c r="D21" s="381" t="str">
        <f aca="false">IF(F21=0,"",IF((ABS(F21-F19))&gt;(0.2*F21),CONCATENATE(" rec. par taxa (",F21," %) supérieur à 20 % !"),""))</f>
        <v> rec. par taxa (5,25375 %) supérieur à 20 % !</v>
      </c>
      <c r="E21" s="450" t="str">
        <f aca="false">IF(F21=0,"",IF((ABS(F21-F19))&gt;(0.2*F21),CONCATENATE("ATTENTION : écart entre rec. par grp (",F19," %) ","et",""),""))</f>
        <v>ATTENTION : écart entre rec. par grp (0 %) et</v>
      </c>
      <c r="F21" s="451" t="n">
        <f aca="false">B21+C21</f>
        <v>5.25375</v>
      </c>
      <c r="G21" s="452"/>
      <c r="H21" s="381"/>
      <c r="I21" s="453"/>
      <c r="J21" s="453"/>
      <c r="K21" s="454"/>
      <c r="L21" s="454"/>
      <c r="M21" s="455"/>
      <c r="N21" s="455"/>
      <c r="O21" s="456"/>
      <c r="P21" s="457"/>
      <c r="Q21" s="458" t="s">
        <v>2666</v>
      </c>
      <c r="R21" s="280"/>
      <c r="S21" s="280"/>
      <c r="T21" s="280"/>
      <c r="U21" s="280"/>
      <c r="V21" s="280"/>
      <c r="W21" s="420" t="s">
        <v>2667</v>
      </c>
    </row>
    <row r="22" customFormat="false" ht="13.2"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3.2" hidden="false" customHeight="false" outlineLevel="0" collapsed="false">
      <c r="A23" s="474" t="s">
        <v>63</v>
      </c>
      <c r="B23" s="475" t="n">
        <v>0.04</v>
      </c>
      <c r="C23" s="476"/>
      <c r="D23" s="477" t="str">
        <f aca="false">IF(ISERROR(VLOOKUP($A23,'liste reference'!$A$7:$D$904,2,0)),IF(ISERROR(VLOOKUP($A23,'liste reference'!$B$7:$D$904,1,0)),"",VLOOKUP($A23,'liste reference'!$B$7:$D$904,1,0)),VLOOKUP($A23,'liste reference'!$A$7:$D$904,2,0))</f>
        <v>Bangia sp.</v>
      </c>
      <c r="E23" s="477" t="e">
        <f aca="false">IF(D23="",0,VLOOKUP(D23,D$22:D22,1,0))</f>
        <v>#N/A</v>
      </c>
      <c r="F23" s="478" t="n">
        <f aca="false">($B23*$B$7+$C23*$C$7)/100</f>
        <v>0.0244</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10</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Bangia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1153</v>
      </c>
      <c r="Q23" s="486" t="n">
        <f aca="false">IF(ISTEXT(H23),"",(B23*$B$7/100)+(C23*$C$7/100))</f>
        <v>0.0244</v>
      </c>
      <c r="R23" s="487" t="n">
        <f aca="false">IF(OR(ISTEXT(H23),Q23=0),"",IF(Q23&lt;0.1,1,IF(Q23&lt;1,2,IF(Q23&lt;10,3,IF(Q23&lt;50,4,IF(Q23&gt;=50,5,""))))))</f>
        <v>1</v>
      </c>
      <c r="S23" s="487" t="n">
        <f aca="false">IF(ISERROR(R23*I23),0,R23*I23)</f>
        <v>10</v>
      </c>
      <c r="T23" s="487" t="n">
        <f aca="false">IF(ISERROR(R23*I23*J23),0,R23*I23*J23)</f>
        <v>20</v>
      </c>
      <c r="U23" s="487" t="n">
        <f aca="false">IF(ISERROR(R23*J23),0,R23*J23)</f>
        <v>2</v>
      </c>
      <c r="V23" s="488" t="str">
        <f aca="false">IF(AND(A23="",F23=0),"",IF(F23=0,"Il manque le(s) % de rec. !",""))</f>
        <v/>
      </c>
      <c r="W23" s="489"/>
      <c r="Y23" s="490" t="str">
        <f aca="false">IF(A23="new.cod","NEWCOD",IF(AND((Z23=""),ISTEXT(A23)),A23,IF(Z23="","",INDEX('liste reference'!$A$8:$A$904,Z23))))</f>
        <v>BANSPX</v>
      </c>
      <c r="Z23" s="280" t="n">
        <f aca="false">IF(ISERROR(MATCH(A23,'liste reference'!$A$8:$A$904,0)),IF(ISERROR(MATCH(A23,'liste reference'!$B$8:$B$904,0)),"",(MATCH(A23,'liste reference'!$B$8:$B$904,0))),(MATCH(A23,'liste reference'!$A$8:$A$904,0)))</f>
        <v>6</v>
      </c>
      <c r="AA23" s="491"/>
      <c r="AB23" s="492"/>
      <c r="AC23" s="492"/>
      <c r="BB23" s="280" t="n">
        <f aca="false">IF(A23="","",1)</f>
        <v>1</v>
      </c>
    </row>
    <row r="24" customFormat="false" ht="13.2" hidden="false" customHeight="false" outlineLevel="0" collapsed="false">
      <c r="A24" s="493" t="s">
        <v>69</v>
      </c>
      <c r="B24" s="494" t="n">
        <v>3</v>
      </c>
      <c r="C24" s="495" t="n">
        <v>0.05</v>
      </c>
      <c r="D24" s="477" t="str">
        <f aca="false">IF(ISERROR(VLOOKUP($A24,'liste reference'!$A$7:$D$904,2,0)),IF(ISERROR(VLOOKUP($A24,'liste reference'!$B$7:$D$904,1,0)),"",VLOOKUP($A24,'liste reference'!$B$7:$D$904,1,0)),VLOOKUP($A24,'liste reference'!$A$7:$D$904,2,0))</f>
        <v>Batrachospermum sp.</v>
      </c>
      <c r="E24" s="496" t="e">
        <f aca="false">IF(D24="",0,VLOOKUP(D24,D$22:D23,1,0))</f>
        <v>#N/A</v>
      </c>
      <c r="F24" s="497" t="n">
        <f aca="false">($B24*$B$7+$C24*$C$7)/100</f>
        <v>1.8495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16</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Batrachospermum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1155</v>
      </c>
      <c r="Q24" s="486" t="n">
        <f aca="false">IF(ISTEXT(H24),"",(B24*$B$7/100)+(C24*$C$7/100))</f>
        <v>1.8495</v>
      </c>
      <c r="R24" s="487" t="n">
        <f aca="false">IF(OR(ISTEXT(H24),Q24=0),"",IF(Q24&lt;0.1,1,IF(Q24&lt;1,2,IF(Q24&lt;10,3,IF(Q24&lt;50,4,IF(Q24&gt;=50,5,""))))))</f>
        <v>3</v>
      </c>
      <c r="S24" s="487" t="n">
        <f aca="false">IF(ISERROR(R24*I24),0,R24*I24)</f>
        <v>48</v>
      </c>
      <c r="T24" s="487" t="n">
        <f aca="false">IF(ISERROR(R24*I24*J24),0,R24*I24*J24)</f>
        <v>96</v>
      </c>
      <c r="U24" s="499" t="n">
        <f aca="false">IF(ISERROR(R24*J24),0,R24*J24)</f>
        <v>6</v>
      </c>
      <c r="V24" s="488" t="str">
        <f aca="false">IF(AND(A24="",F24=0),"",IF(F24=0,"Il manque le(s) % de rec. !",""))</f>
        <v/>
      </c>
      <c r="W24" s="489"/>
      <c r="Y24" s="490" t="str">
        <f aca="false">IF(A24="new.cod","NEWCOD",IF(AND((Z24=""),ISTEXT(A24)),A24,IF(Z24="","",INDEX('liste reference'!$A$8:$A$904,Z24))))</f>
        <v>BATSPX</v>
      </c>
      <c r="Z24" s="280" t="n">
        <f aca="false">IF(ISERROR(MATCH(A24,'liste reference'!$A$8:$A$904,0)),IF(ISERROR(MATCH(A24,'liste reference'!$B$8:$B$904,0)),"",(MATCH(A24,'liste reference'!$B$8:$B$904,0))),(MATCH(A24,'liste reference'!$A$8:$A$904,0)))</f>
        <v>7</v>
      </c>
      <c r="AA24" s="491"/>
      <c r="AB24" s="492"/>
      <c r="AC24" s="492"/>
      <c r="BB24" s="280" t="n">
        <f aca="false">IF(A24="","",1)</f>
        <v>1</v>
      </c>
    </row>
    <row r="25" customFormat="false" ht="13.2" hidden="false" customHeight="false" outlineLevel="0" collapsed="false">
      <c r="A25" s="493" t="s">
        <v>113</v>
      </c>
      <c r="B25" s="494"/>
      <c r="C25" s="495" t="n">
        <v>1.5</v>
      </c>
      <c r="D25" s="477" t="str">
        <f aca="false">IF(ISERROR(VLOOKUP($A25,'liste reference'!$A$7:$D$904,2,0)),IF(ISERROR(VLOOKUP($A25,'liste reference'!$B$7:$D$904,1,0)),"",VLOOKUP($A25,'liste reference'!$B$7:$D$904,1,0)),VLOOKUP($A25,'liste reference'!$A$7:$D$904,2,0))</f>
        <v>Chara vulgaris</v>
      </c>
      <c r="E25" s="496" t="e">
        <f aca="false">IF(D25="",0,VLOOKUP(D25,D$22:D24,1,0))</f>
        <v>#N/A</v>
      </c>
      <c r="F25" s="497" t="n">
        <f aca="false">($B25*$B$7+$C25*$C$7)/100</f>
        <v>0.585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13</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Chara vulgaris</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5261</v>
      </c>
      <c r="Q25" s="486" t="n">
        <f aca="false">IF(ISTEXT(H25),"",(B25*$B$7/100)+(C25*$C$7/100))</f>
        <v>0.585</v>
      </c>
      <c r="R25" s="487" t="n">
        <f aca="false">IF(OR(ISTEXT(H25),Q25=0),"",IF(Q25&lt;0.1,1,IF(Q25&lt;1,2,IF(Q25&lt;10,3,IF(Q25&lt;50,4,IF(Q25&gt;=50,5,""))))))</f>
        <v>2</v>
      </c>
      <c r="S25" s="487" t="n">
        <f aca="false">IF(ISERROR(R25*I25),0,R25*I25)</f>
        <v>26</v>
      </c>
      <c r="T25" s="487" t="n">
        <f aca="false">IF(ISERROR(R25*I25*J25),0,R25*I25*J25)</f>
        <v>26</v>
      </c>
      <c r="U25" s="499" t="n">
        <f aca="false">IF(ISERROR(R25*J25),0,R25*J25)</f>
        <v>2</v>
      </c>
      <c r="V25" s="488" t="str">
        <f aca="false">IF(AND(A25="",F25=0),"",IF(F25=0,"Il manque le(s) % de rec. !",""))</f>
        <v/>
      </c>
      <c r="W25" s="500"/>
      <c r="Y25" s="490" t="str">
        <f aca="false">IF(A25="new.cod","NEWCOD",IF(AND((Z25=""),ISTEXT(A25)),A25,IF(Z25="","",INDEX('liste reference'!$A$8:$A$904,Z25))))</f>
        <v>CHAVUL</v>
      </c>
      <c r="Z25" s="280" t="n">
        <f aca="false">IF(ISERROR(MATCH(A25,'liste reference'!$A$8:$A$904,0)),IF(ISERROR(MATCH(A25,'liste reference'!$B$8:$B$904,0)),"",(MATCH(A25,'liste reference'!$B$8:$B$904,0))),(MATCH(A25,'liste reference'!$A$8:$A$904,0)))</f>
        <v>20</v>
      </c>
      <c r="AA25" s="491"/>
      <c r="AB25" s="492"/>
      <c r="AC25" s="492"/>
      <c r="BB25" s="280" t="n">
        <f aca="false">IF(A25="","",1)</f>
        <v>1</v>
      </c>
    </row>
    <row r="26" customFormat="false" ht="13.2" hidden="false" customHeight="false" outlineLevel="0" collapsed="false">
      <c r="A26" s="493" t="s">
        <v>122</v>
      </c>
      <c r="B26" s="494" t="n">
        <v>3</v>
      </c>
      <c r="C26" s="495"/>
      <c r="D26" s="477" t="str">
        <f aca="false">IF(ISERROR(VLOOKUP($A26,'liste reference'!$A$7:$D$904,2,0)),IF(ISERROR(VLOOKUP($A26,'liste reference'!$B$7:$D$904,1,0)),"",VLOOKUP($A26,'liste reference'!$B$7:$D$904,1,0)),VLOOKUP($A26,'liste reference'!$A$7:$D$904,2,0))</f>
        <v>Cladophora sp.</v>
      </c>
      <c r="E26" s="496" t="e">
        <f aca="false">IF(D26="",0,VLOOKUP(D26,D$22:D25,1,0))</f>
        <v>#N/A</v>
      </c>
      <c r="F26" s="497" t="n">
        <f aca="false">($B26*$B$7+$C26*$C$7)/100</f>
        <v>1.83</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6</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Cladophora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1124</v>
      </c>
      <c r="Q26" s="486" t="n">
        <f aca="false">IF(ISTEXT(H26),"",(B26*$B$7/100)+(C26*$C$7/100))</f>
        <v>1.83</v>
      </c>
      <c r="R26" s="487" t="n">
        <f aca="false">IF(OR(ISTEXT(H26),Q26=0),"",IF(Q26&lt;0.1,1,IF(Q26&lt;1,2,IF(Q26&lt;10,3,IF(Q26&lt;50,4,IF(Q26&gt;=50,5,""))))))</f>
        <v>3</v>
      </c>
      <c r="S26" s="487" t="n">
        <f aca="false">IF(ISERROR(R26*I26),0,R26*I26)</f>
        <v>18</v>
      </c>
      <c r="T26" s="487" t="n">
        <f aca="false">IF(ISERROR(R26*I26*J26),0,R26*I26*J26)</f>
        <v>18</v>
      </c>
      <c r="U26" s="499" t="n">
        <f aca="false">IF(ISERROR(R26*J26),0,R26*J26)</f>
        <v>3</v>
      </c>
      <c r="V26" s="488" t="str">
        <f aca="false">IF(AND(A26="",F26=0),"",IF(F26=0,"Il manque le(s) % de rec. !",""))</f>
        <v/>
      </c>
      <c r="W26" s="489"/>
      <c r="Y26" s="490" t="str">
        <f aca="false">IF(A26="new.cod","NEWCOD",IF(AND((Z26=""),ISTEXT(A26)),A26,IF(Z26="","",INDEX('liste reference'!$A$8:$A$904,Z26))))</f>
        <v>CLASPX</v>
      </c>
      <c r="Z26" s="280" t="n">
        <f aca="false">IF(ISERROR(MATCH(A26,'liste reference'!$A$8:$A$904,0)),IF(ISERROR(MATCH(A26,'liste reference'!$B$8:$B$904,0)),"",(MATCH(A26,'liste reference'!$B$8:$B$904,0))),(MATCH(A26,'liste reference'!$A$8:$A$904,0)))</f>
        <v>23</v>
      </c>
      <c r="AA26" s="491"/>
      <c r="AB26" s="492"/>
      <c r="AC26" s="492"/>
      <c r="BB26" s="280" t="n">
        <f aca="false">IF(A26="","",1)</f>
        <v>1</v>
      </c>
    </row>
    <row r="27" customFormat="false" ht="13.2" hidden="false" customHeight="false" outlineLevel="0" collapsed="false">
      <c r="A27" s="493" t="s">
        <v>228</v>
      </c>
      <c r="B27" s="494" t="n">
        <v>0.005</v>
      </c>
      <c r="C27" s="495"/>
      <c r="D27" s="477" t="str">
        <f aca="false">IF(ISERROR(VLOOKUP($A27,'liste reference'!$A$7:$D$904,2,0)),IF(ISERROR(VLOOKUP($A27,'liste reference'!$B$7:$D$904,1,0)),"",VLOOKUP($A27,'liste reference'!$B$7:$D$904,1,0)),VLOOKUP($A27,'liste reference'!$A$7:$D$904,2,0))</f>
        <v>Phormidium sp.</v>
      </c>
      <c r="E27" s="496" t="e">
        <f aca="false">IF(D27="",0,VLOOKUP(D27,D$22:D26,1,0))</f>
        <v>#N/A</v>
      </c>
      <c r="F27" s="497" t="n">
        <f aca="false">($B27*$B$7+$C27*$C$7)/100</f>
        <v>0.00305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13</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Phormidium sp.</v>
      </c>
      <c r="L27" s="498"/>
      <c r="M27" s="498"/>
      <c r="N27" s="498"/>
      <c r="O27" s="484" t="s">
        <v>2686</v>
      </c>
      <c r="P27" s="485" t="n">
        <f aca="false">IF($A27="NEWCOD",IF($AC27="","No",$AC27),IF(ISTEXT($E27),"DEJA SAISI !",IF($A27="","",IF(ISERROR(VLOOKUP($A27,'liste reference'!A:S,19,FALSE())),IF(ISERROR(VLOOKUP($A27,'liste reference'!B:S,19,FALSE())),"",VLOOKUP($A27,'liste reference'!B:S,19,FALSE())),VLOOKUP($A27,'liste reference'!A:S,19,FALSE())))))</f>
        <v>6414</v>
      </c>
      <c r="Q27" s="486" t="n">
        <f aca="false">IF(ISTEXT(H27),"",(B27*$B$7/100)+(C27*$C$7/100))</f>
        <v>0.00305</v>
      </c>
      <c r="R27" s="487" t="n">
        <f aca="false">IF(OR(ISTEXT(H27),Q27=0),"",IF(Q27&lt;0.1,1,IF(Q27&lt;1,2,IF(Q27&lt;10,3,IF(Q27&lt;50,4,IF(Q27&gt;=50,5,""))))))</f>
        <v>1</v>
      </c>
      <c r="S27" s="487" t="n">
        <f aca="false">IF(ISERROR(R27*I27),0,R27*I27)</f>
        <v>13</v>
      </c>
      <c r="T27" s="487" t="n">
        <f aca="false">IF(ISERROR(R27*I27*J27),0,R27*I27*J27)</f>
        <v>26</v>
      </c>
      <c r="U27" s="499" t="n">
        <f aca="false">IF(ISERROR(R27*J27),0,R27*J27)</f>
        <v>2</v>
      </c>
      <c r="V27" s="488" t="str">
        <f aca="false">IF(AND(A27="",F27=0),"",IF(F27=0,"Il manque le(s) % de rec. !",""))</f>
        <v/>
      </c>
      <c r="W27" s="489"/>
      <c r="Y27" s="490" t="str">
        <f aca="false">IF(A27="new.cod","NEWCOD",IF(AND((Z27=""),ISTEXT(A27)),A27,IF(Z27="","",INDEX('liste reference'!$A$8:$A$904,Z27))))</f>
        <v>PHOSPX</v>
      </c>
      <c r="Z27" s="280" t="n">
        <f aca="false">IF(ISERROR(MATCH(A27,'liste reference'!$A$8:$A$904,0)),IF(ISERROR(MATCH(A27,'liste reference'!$B$8:$B$904,0)),"",(MATCH(A27,'liste reference'!$B$8:$B$904,0))),(MATCH(A27,'liste reference'!$A$8:$A$904,0)))</f>
        <v>57</v>
      </c>
      <c r="AA27" s="491" t="s">
        <v>2686</v>
      </c>
      <c r="AB27" s="492"/>
      <c r="AC27" s="492"/>
      <c r="BB27" s="280" t="n">
        <f aca="false">IF(A27="","",1)</f>
        <v>1</v>
      </c>
    </row>
    <row r="28" customFormat="false" ht="13.2" hidden="false" customHeight="false" outlineLevel="0" collapsed="false">
      <c r="A28" s="493" t="s">
        <v>258</v>
      </c>
      <c r="B28" s="494" t="n">
        <v>0.02</v>
      </c>
      <c r="C28" s="495" t="n">
        <v>0.005</v>
      </c>
      <c r="D28" s="477" t="str">
        <f aca="false">IF(ISERROR(VLOOKUP($A28,'liste reference'!$A$7:$D$904,2,0)),IF(ISERROR(VLOOKUP($A28,'liste reference'!$B$7:$D$904,1,0)),"",VLOOKUP($A28,'liste reference'!$B$7:$D$904,1,0)),VLOOKUP($A28,'liste reference'!$A$7:$D$904,2,0))</f>
        <v>Spirogyra sp.</v>
      </c>
      <c r="E28" s="496" t="e">
        <f aca="false">IF(D28="",0,VLOOKUP(D28,D$22:D27,1,0))</f>
        <v>#N/A</v>
      </c>
      <c r="F28" s="497" t="n">
        <f aca="false">($B28*$B$7+$C28*$C$7)/100</f>
        <v>0.01415</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10</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Spirogyra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1147</v>
      </c>
      <c r="Q28" s="486" t="n">
        <f aca="false">IF(ISTEXT(H28),"",(B28*$B$7/100)+(C28*$C$7/100))</f>
        <v>0.01415</v>
      </c>
      <c r="R28" s="487" t="n">
        <f aca="false">IF(OR(ISTEXT(H28),Q28=0),"",IF(Q28&lt;0.1,1,IF(Q28&lt;1,2,IF(Q28&lt;10,3,IF(Q28&lt;50,4,IF(Q28&gt;=50,5,""))))))</f>
        <v>1</v>
      </c>
      <c r="S28" s="487" t="n">
        <f aca="false">IF(ISERROR(R28*I28),0,R28*I28)</f>
        <v>10</v>
      </c>
      <c r="T28" s="487" t="n">
        <f aca="false">IF(ISERROR(R28*I28*J28),0,R28*I28*J28)</f>
        <v>10</v>
      </c>
      <c r="U28" s="499" t="n">
        <f aca="false">IF(ISERROR(R28*J28),0,R28*J28)</f>
        <v>1</v>
      </c>
      <c r="V28" s="488" t="str">
        <f aca="false">IF(AND(A28="",F28=0),"",IF(F28=0,"Il manque le(s) % de rec. !",""))</f>
        <v/>
      </c>
      <c r="W28" s="489"/>
      <c r="Y28" s="490" t="str">
        <f aca="false">IF(A28="new.cod","NEWCOD",IF(AND((Z28=""),ISTEXT(A28)),A28,IF(Z28="","",INDEX('liste reference'!$A$8:$A$904,Z28))))</f>
        <v>SPISPX</v>
      </c>
      <c r="Z28" s="280" t="n">
        <f aca="false">IF(ISERROR(MATCH(A28,'liste reference'!$A$8:$A$904,0)),IF(ISERROR(MATCH(A28,'liste reference'!$B$8:$B$904,0)),"",(MATCH(A28,'liste reference'!$B$8:$B$904,0))),(MATCH(A28,'liste reference'!$A$8:$A$904,0)))</f>
        <v>69</v>
      </c>
      <c r="AA28" s="491"/>
      <c r="AB28" s="492"/>
      <c r="AC28" s="492"/>
      <c r="BB28" s="280" t="n">
        <f aca="false">IF(A28="","",1)</f>
        <v>1</v>
      </c>
    </row>
    <row r="29" customFormat="false" ht="13.2" hidden="false" customHeight="false" outlineLevel="0" collapsed="false">
      <c r="A29" s="493" t="s">
        <v>298</v>
      </c>
      <c r="B29" s="494" t="n">
        <v>0.02</v>
      </c>
      <c r="C29" s="495" t="n">
        <v>0.005</v>
      </c>
      <c r="D29" s="477" t="str">
        <f aca="false">IF(ISERROR(VLOOKUP($A29,'liste reference'!$A$7:$D$904,2,0)),IF(ISERROR(VLOOKUP($A29,'liste reference'!$B$7:$D$904,1,0)),"",VLOOKUP($A29,'liste reference'!$B$7:$D$904,1,0)),VLOOKUP($A29,'liste reference'!$A$7:$D$904,2,0))</f>
        <v>Ulothrix sp.</v>
      </c>
      <c r="E29" s="496" t="e">
        <f aca="false">IF(D29="",0,VLOOKUP(D29,D$22:D28,1,0))</f>
        <v>#N/A</v>
      </c>
      <c r="F29" s="497" t="n">
        <f aca="false">($B29*$B$7+$C29*$C$7)/100</f>
        <v>0.01415</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10</v>
      </c>
      <c r="J29" s="481" t="n">
        <f aca="false">IF(ISNUMBER(H29),IF(ISERROR(VLOOKUP($A29,'liste reference'!$A$7:$P$904,4,0)),IF(ISERROR(VLOOKUP($A29,'liste reference'!$B$7:$P$904,3,0)),"",VLOOKUP($A29,'liste reference'!$B$7:$P$904,3,0)),VLOOKUP($A29,'liste reference'!$A$7:$P$904,4,0)),"")</f>
        <v>1</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Ulothrix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1142</v>
      </c>
      <c r="Q29" s="486" t="n">
        <f aca="false">IF(ISTEXT(H29),"",(B29*$B$7/100)+(C29*$C$7/100))</f>
        <v>0.01415</v>
      </c>
      <c r="R29" s="487" t="n">
        <f aca="false">IF(OR(ISTEXT(H29),Q29=0),"",IF(Q29&lt;0.1,1,IF(Q29&lt;1,2,IF(Q29&lt;10,3,IF(Q29&lt;50,4,IF(Q29&gt;=50,5,""))))))</f>
        <v>1</v>
      </c>
      <c r="S29" s="487" t="n">
        <f aca="false">IF(ISERROR(R29*I29),0,R29*I29)</f>
        <v>10</v>
      </c>
      <c r="T29" s="487" t="n">
        <f aca="false">IF(ISERROR(R29*I29*J29),0,R29*I29*J29)</f>
        <v>10</v>
      </c>
      <c r="U29" s="499" t="n">
        <f aca="false">IF(ISERROR(R29*J29),0,R29*J29)</f>
        <v>1</v>
      </c>
      <c r="V29" s="488" t="str">
        <f aca="false">IF(AND(A29="",F29=0),"",IF(F29=0,"Il manque le(s) % de rec. !",""))</f>
        <v/>
      </c>
      <c r="W29" s="489"/>
      <c r="Y29" s="490" t="str">
        <f aca="false">IF(A29="new.cod","NEWCOD",IF(AND((Z29=""),ISTEXT(A29)),A29,IF(Z29="","",INDEX('liste reference'!$A$8:$A$904,Z29))))</f>
        <v>ULOSPX</v>
      </c>
      <c r="Z29" s="280" t="n">
        <f aca="false">IF(ISERROR(MATCH(A29,'liste reference'!$A$8:$A$904,0)),IF(ISERROR(MATCH(A29,'liste reference'!$B$8:$B$904,0)),"",(MATCH(A29,'liste reference'!$B$8:$B$904,0))),(MATCH(A29,'liste reference'!$A$8:$A$904,0)))</f>
        <v>81</v>
      </c>
      <c r="AA29" s="491"/>
      <c r="AB29" s="492"/>
      <c r="AC29" s="492"/>
      <c r="BB29" s="280" t="n">
        <f aca="false">IF(A29="","",1)</f>
        <v>1</v>
      </c>
    </row>
    <row r="30" customFormat="false" ht="13.2" hidden="false" customHeight="false" outlineLevel="0" collapsed="false">
      <c r="A30" s="493" t="s">
        <v>304</v>
      </c>
      <c r="B30" s="494" t="n">
        <v>0.02</v>
      </c>
      <c r="C30" s="495" t="n">
        <v>0.005</v>
      </c>
      <c r="D30" s="477" t="str">
        <f aca="false">IF(ISERROR(VLOOKUP($A30,'liste reference'!$A$7:$D$904,2,0)),IF(ISERROR(VLOOKUP($A30,'liste reference'!$B$7:$D$904,1,0)),"",VLOOKUP($A30,'liste reference'!$B$7:$D$904,1,0)),VLOOKUP($A30,'liste reference'!$A$7:$D$904,2,0))</f>
        <v>Zygnema sp.</v>
      </c>
      <c r="E30" s="496" t="e">
        <f aca="false">IF(D30="",0,VLOOKUP(D30,D$22:D29,1,0))</f>
        <v>#N/A</v>
      </c>
      <c r="F30" s="497" t="n">
        <f aca="false">($B30*$B$7+$C30*$C$7)/100</f>
        <v>0.01415</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13</v>
      </c>
      <c r="J30" s="481" t="n">
        <f aca="false">IF(ISNUMBER(H30),IF(ISERROR(VLOOKUP($A30,'liste reference'!$A$7:$P$904,4,0)),IF(ISERROR(VLOOKUP($A30,'liste reference'!$B$7:$P$904,3,0)),"",VLOOKUP($A30,'liste reference'!$B$7:$P$904,3,0)),VLOOKUP($A30,'liste reference'!$A$7:$P$904,4,0)),"")</f>
        <v>3</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Zygnema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1148</v>
      </c>
      <c r="Q30" s="486" t="n">
        <f aca="false">IF(ISTEXT(H30),"",(B30*$B$7/100)+(C30*$C$7/100))</f>
        <v>0.01415</v>
      </c>
      <c r="R30" s="487" t="n">
        <f aca="false">IF(OR(ISTEXT(H30),Q30=0),"",IF(Q30&lt;0.1,1,IF(Q30&lt;1,2,IF(Q30&lt;10,3,IF(Q30&lt;50,4,IF(Q30&gt;=50,5,""))))))</f>
        <v>1</v>
      </c>
      <c r="S30" s="487" t="n">
        <f aca="false">IF(ISERROR(R30*I30),0,R30*I30)</f>
        <v>13</v>
      </c>
      <c r="T30" s="487" t="n">
        <f aca="false">IF(ISERROR(R30*I30*J30),0,R30*I30*J30)</f>
        <v>39</v>
      </c>
      <c r="U30" s="499" t="n">
        <f aca="false">IF(ISERROR(R30*J30),0,R30*J30)</f>
        <v>3</v>
      </c>
      <c r="V30" s="488" t="str">
        <f aca="false">IF(AND(A30="",F30=0),"",IF(F30=0,"Il manque le(s) % de rec. !",""))</f>
        <v/>
      </c>
      <c r="W30" s="489"/>
      <c r="Y30" s="490" t="str">
        <f aca="false">IF(A30="new.cod","NEWCOD",IF(AND((Z30=""),ISTEXT(A30)),A30,IF(Z30="","",INDEX('liste reference'!$A$8:$A$904,Z30))))</f>
        <v>ZYGSPX</v>
      </c>
      <c r="Z30" s="280" t="n">
        <f aca="false">IF(ISERROR(MATCH(A30,'liste reference'!$A$8:$A$904,0)),IF(ISERROR(MATCH(A30,'liste reference'!$B$8:$B$904,0)),"",(MATCH(A30,'liste reference'!$B$8:$B$904,0))),(MATCH(A30,'liste reference'!$A$8:$A$904,0)))</f>
        <v>83</v>
      </c>
      <c r="AA30" s="491"/>
      <c r="AB30" s="492"/>
      <c r="AC30" s="492"/>
      <c r="BB30" s="280" t="n">
        <f aca="false">IF(A30="","",1)</f>
        <v>1</v>
      </c>
    </row>
    <row r="31" customFormat="false" ht="13.2" hidden="false" customHeight="false" outlineLevel="0" collapsed="false">
      <c r="A31" s="493" t="s">
        <v>760</v>
      </c>
      <c r="B31" s="494" t="n">
        <v>0.02</v>
      </c>
      <c r="C31" s="495"/>
      <c r="D31" s="477" t="str">
        <f aca="false">IF(ISERROR(VLOOKUP($A31,'liste reference'!$A$7:$D$904,2,0)),IF(ISERROR(VLOOKUP($A31,'liste reference'!$B$7:$D$904,1,0)),"",VLOOKUP($A31,'liste reference'!$B$7:$D$904,1,0)),VLOOKUP($A31,'liste reference'!$A$7:$D$904,2,0))</f>
        <v>Cratoneuron commutatum</v>
      </c>
      <c r="E31" s="496" t="e">
        <f aca="false">IF(D31="",0,VLOOKUP(D31,D$22:D30,1,0))</f>
        <v>#N/A</v>
      </c>
      <c r="F31" s="497" t="n">
        <f aca="false">($B31*$B$7+$C31*$C$7)/100</f>
        <v>0.0122</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15</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Cratoneuron commutatum</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1232</v>
      </c>
      <c r="Q31" s="486" t="n">
        <f aca="false">IF(ISTEXT(H31),"",(B31*$B$7/100)+(C31*$C$7/100))</f>
        <v>0.0122</v>
      </c>
      <c r="R31" s="487" t="n">
        <f aca="false">IF(OR(ISTEXT(H31),Q31=0),"",IF(Q31&lt;0.1,1,IF(Q31&lt;1,2,IF(Q31&lt;10,3,IF(Q31&lt;50,4,IF(Q31&gt;=50,5,""))))))</f>
        <v>1</v>
      </c>
      <c r="S31" s="487" t="n">
        <f aca="false">IF(ISERROR(R31*I31),0,R31*I31)</f>
        <v>15</v>
      </c>
      <c r="T31" s="487" t="n">
        <f aca="false">IF(ISERROR(R31*I31*J31),0,R31*I31*J31)</f>
        <v>30</v>
      </c>
      <c r="U31" s="499" t="n">
        <f aca="false">IF(ISERROR(R31*J31),0,R31*J31)</f>
        <v>2</v>
      </c>
      <c r="V31" s="488" t="str">
        <f aca="false">IF(AND(A31="",F31=0),"",IF(F31=0,"Il manque le(s) % de rec. !",""))</f>
        <v/>
      </c>
      <c r="W31" s="489"/>
      <c r="Y31" s="490" t="str">
        <f aca="false">IF(A31="new.cod","NEWCOD",IF(AND((Z31=""),ISTEXT(A31)),A31,IF(Z31="","",INDEX('liste reference'!$A$8:$A$904,Z31))))</f>
        <v>CRACOM</v>
      </c>
      <c r="Z31" s="280" t="n">
        <f aca="false">IF(ISERROR(MATCH(A31,'liste reference'!$A$8:$A$904,0)),IF(ISERROR(MATCH(A31,'liste reference'!$B$8:$B$904,0)),"",(MATCH(A31,'liste reference'!$B$8:$B$904,0))),(MATCH(A31,'liste reference'!$A$8:$A$904,0)))</f>
        <v>177</v>
      </c>
      <c r="AA31" s="491"/>
      <c r="AB31" s="492"/>
      <c r="AC31" s="492"/>
      <c r="BB31" s="280" t="n">
        <f aca="false">IF(A31="","",1)</f>
        <v>1</v>
      </c>
    </row>
    <row r="32" customFormat="false" ht="13.2" hidden="false" customHeight="false" outlineLevel="0" collapsed="false">
      <c r="A32" s="493" t="s">
        <v>764</v>
      </c>
      <c r="B32" s="494" t="n">
        <v>0.01</v>
      </c>
      <c r="C32" s="495"/>
      <c r="D32" s="477" t="str">
        <f aca="false">IF(ISERROR(VLOOKUP($A32,'liste reference'!$A$7:$D$904,2,0)),IF(ISERROR(VLOOKUP($A32,'liste reference'!$B$7:$D$904,1,0)),"",VLOOKUP($A32,'liste reference'!$B$7:$D$904,1,0)),VLOOKUP($A32,'liste reference'!$A$7:$D$904,2,0))</f>
        <v>Cratoneuron filicinum</v>
      </c>
      <c r="E32" s="496" t="e">
        <f aca="false">IF(D32="",0,VLOOKUP(D32,D$22:D31,1,0))</f>
        <v>#N/A</v>
      </c>
      <c r="F32" s="497" t="n">
        <f aca="false">($B32*$B$7+$C32*$C$7)/100</f>
        <v>0.0061</v>
      </c>
      <c r="G32" s="479" t="str">
        <f aca="false">IF(A32="","",IF(ISERROR(VLOOKUP($A32,'liste reference'!$A$7:$P$904,13,0)),IF(ISERROR(VLOOKUP($A32,'liste reference'!$B$7:$P$904,12,0)),"    -",VLOOKUP($A32,'liste reference'!$B$7:$P$904,12,0)),VLOOKUP($A32,'liste reference'!$A$7:$P$904,13,0)))</f>
        <v>BRm</v>
      </c>
      <c r="H32" s="480" t="n">
        <f aca="false">IF(A32="","x",IF(ISERROR(VLOOKUP($A32,'liste reference'!$A$8:$P$904,14,0)),IF(ISERROR(VLOOKUP($A32,'liste reference'!$B$8:$P$904,13,0)),"x",VLOOKUP($A32,'liste reference'!$B$8:$P$904,13,0)),VLOOKUP($A32,'liste reference'!$A$8:$P$904,14,0)))</f>
        <v>5</v>
      </c>
      <c r="I32" s="481" t="n">
        <f aca="false">IF(ISNUMBER(H32),IF(ISERROR(VLOOKUP($A32,'liste reference'!$A$7:$P$904,3,0)),IF(ISERROR(VLOOKUP($A32,'liste reference'!$B$7:$P$904,2,0)),"",VLOOKUP($A32,'liste reference'!$B$7:$P$904,2,0)),VLOOKUP($A32,'liste reference'!$A$7:$P$904,3,0)),"")</f>
        <v>18</v>
      </c>
      <c r="J32" s="481" t="n">
        <f aca="false">IF(ISNUMBER(H32),IF(ISERROR(VLOOKUP($A32,'liste reference'!$A$7:$P$904,4,0)),IF(ISERROR(VLOOKUP($A32,'liste reference'!$B$7:$P$904,3,0)),"",VLOOKUP($A32,'liste reference'!$B$7:$P$904,3,0)),VLOOKUP($A32,'liste reference'!$A$7:$P$904,4,0)),"")</f>
        <v>3</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Cratoneuron filicinum</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1233</v>
      </c>
      <c r="Q32" s="486" t="n">
        <f aca="false">IF(ISTEXT(H32),"",(B32*$B$7/100)+(C32*$C$7/100))</f>
        <v>0.0061</v>
      </c>
      <c r="R32" s="487" t="n">
        <f aca="false">IF(OR(ISTEXT(H32),Q32=0),"",IF(Q32&lt;0.1,1,IF(Q32&lt;1,2,IF(Q32&lt;10,3,IF(Q32&lt;50,4,IF(Q32&gt;=50,5,""))))))</f>
        <v>1</v>
      </c>
      <c r="S32" s="487" t="n">
        <f aca="false">IF(ISERROR(R32*I32),0,R32*I32)</f>
        <v>18</v>
      </c>
      <c r="T32" s="487" t="n">
        <f aca="false">IF(ISERROR(R32*I32*J32),0,R32*I32*J32)</f>
        <v>54</v>
      </c>
      <c r="U32" s="499" t="n">
        <f aca="false">IF(ISERROR(R32*J32),0,R32*J32)</f>
        <v>3</v>
      </c>
      <c r="V32" s="488" t="str">
        <f aca="false">IF(AND(A32="",F32=0),"",IF(F32=0,"Il manque le(s) % de rec. !",""))</f>
        <v/>
      </c>
      <c r="W32" s="489"/>
      <c r="Y32" s="490" t="str">
        <f aca="false">IF(A32="new.cod","NEWCOD",IF(AND((Z32=""),ISTEXT(A32)),A32,IF(Z32="","",INDEX('liste reference'!$A$8:$A$904,Z32))))</f>
        <v>CRAFIL</v>
      </c>
      <c r="Z32" s="280" t="n">
        <f aca="false">IF(ISERROR(MATCH(A32,'liste reference'!$A$8:$A$904,0)),IF(ISERROR(MATCH(A32,'liste reference'!$B$8:$B$904,0)),"",(MATCH(A32,'liste reference'!$B$8:$B$904,0))),(MATCH(A32,'liste reference'!$A$8:$A$904,0)))</f>
        <v>178</v>
      </c>
      <c r="AA32" s="491"/>
      <c r="AB32" s="492"/>
      <c r="AC32" s="492"/>
      <c r="BB32" s="280" t="n">
        <f aca="false">IF(A32="","",1)</f>
        <v>1</v>
      </c>
    </row>
    <row r="33" customFormat="false" ht="13.2" hidden="false" customHeight="false" outlineLevel="0" collapsed="false">
      <c r="A33" s="493" t="s">
        <v>1153</v>
      </c>
      <c r="B33" s="494"/>
      <c r="C33" s="495" t="n">
        <v>0.005</v>
      </c>
      <c r="D33" s="477" t="str">
        <f aca="false">IF(ISERROR(VLOOKUP($A33,'liste reference'!$A$7:$D$904,2,0)),IF(ISERROR(VLOOKUP($A33,'liste reference'!$B$7:$D$904,1,0)),"",VLOOKUP($A33,'liste reference'!$B$7:$D$904,1,0)),VLOOKUP($A33,'liste reference'!$A$7:$D$904,2,0))</f>
        <v>Equisetum arvense</v>
      </c>
      <c r="E33" s="496" t="e">
        <f aca="false">IF(D33="",0,VLOOKUP(D33,D$22:D32,1,0))</f>
        <v>#N/A</v>
      </c>
      <c r="F33" s="497" t="n">
        <f aca="false">($B33*$B$7+$C33*$C$7)/100</f>
        <v>0.00195</v>
      </c>
      <c r="G33" s="479" t="str">
        <f aca="false">IF(A33="","",IF(ISERROR(VLOOKUP($A33,'liste reference'!$A$7:$P$904,13,0)),IF(ISERROR(VLOOKUP($A33,'liste reference'!$B$7:$P$904,12,0)),"    -",VLOOKUP($A33,'liste reference'!$B$7:$P$904,12,0)),VLOOKUP($A33,'liste reference'!$A$7:$P$904,13,0)))</f>
        <v>PTE</v>
      </c>
      <c r="H33" s="480" t="n">
        <f aca="false">IF(A33="","x",IF(ISERROR(VLOOKUP($A33,'liste reference'!$A$8:$P$904,14,0)),IF(ISERROR(VLOOKUP($A33,'liste reference'!$B$8:$P$904,13,0)),"x",VLOOKUP($A33,'liste reference'!$B$8:$P$904,13,0)),VLOOKUP($A33,'liste reference'!$A$8:$P$904,14,0)))</f>
        <v>6</v>
      </c>
      <c r="I33" s="481" t="n">
        <f aca="false">IF(ISNUMBER(H33),IF(ISERROR(VLOOKUP($A33,'liste reference'!$A$7:$P$904,3,0)),IF(ISERROR(VLOOKUP($A33,'liste reference'!$B$7:$P$904,2,0)),"",VLOOKUP($A33,'liste reference'!$B$7:$P$904,2,0)),VLOOKUP($A33,'liste reference'!$A$7:$P$904,3,0)),"")</f>
        <v>0</v>
      </c>
      <c r="J33" s="481" t="n">
        <f aca="false">IF(ISNUMBER(H33),IF(ISERROR(VLOOKUP($A33,'liste reference'!$A$7:$P$904,4,0)),IF(ISERROR(VLOOKUP($A33,'liste reference'!$B$7:$P$904,3,0)),"",VLOOKUP($A33,'liste reference'!$B$7:$P$904,3,0)),VLOOKUP($A33,'liste reference'!$A$7:$P$904,4,0)),"")</f>
        <v>0</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Equisetum arvense</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1384</v>
      </c>
      <c r="Q33" s="486" t="n">
        <f aca="false">IF(ISTEXT(H33),"",(B33*$B$7/100)+(C33*$C$7/100))</f>
        <v>0.00195</v>
      </c>
      <c r="R33" s="487" t="n">
        <f aca="false">IF(OR(ISTEXT(H33),Q33=0),"",IF(Q33&lt;0.1,1,IF(Q33&lt;1,2,IF(Q33&lt;10,3,IF(Q33&lt;50,4,IF(Q33&gt;=50,5,""))))))</f>
        <v>1</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EQUARV</v>
      </c>
      <c r="Z33" s="280" t="n">
        <f aca="false">IF(ISERROR(MATCH(A33,'liste reference'!$A$8:$A$904,0)),IF(ISERROR(MATCH(A33,'liste reference'!$B$8:$B$904,0)),"",(MATCH(A33,'liste reference'!$B$8:$B$904,0))),(MATCH(A33,'liste reference'!$A$8:$A$904,0)))</f>
        <v>278</v>
      </c>
      <c r="AA33" s="491"/>
      <c r="AB33" s="492"/>
      <c r="AC33" s="492"/>
      <c r="BB33" s="280" t="n">
        <f aca="false">IF(A33="","",1)</f>
        <v>1</v>
      </c>
    </row>
    <row r="34" customFormat="false" ht="13.2" hidden="false" customHeight="false" outlineLevel="0" collapsed="false">
      <c r="A34" s="493" t="s">
        <v>1310</v>
      </c>
      <c r="B34" s="494"/>
      <c r="C34" s="495" t="n">
        <v>0.7</v>
      </c>
      <c r="D34" s="477" t="str">
        <f aca="false">IF(ISERROR(VLOOKUP($A34,'liste reference'!$A$7:$D$904,2,0)),IF(ISERROR(VLOOKUP($A34,'liste reference'!$B$7:$D$904,1,0)),"",VLOOKUP($A34,'liste reference'!$B$7:$D$904,1,0)),VLOOKUP($A34,'liste reference'!$A$7:$D$904,2,0))</f>
        <v>Groenlandia densa</v>
      </c>
      <c r="E34" s="496" t="e">
        <f aca="false">IF(D34="",0,VLOOKUP(D34,D$22:D33,1,0))</f>
        <v>#N/A</v>
      </c>
      <c r="F34" s="501" t="n">
        <f aca="false">($B34*$B$7+$C34*$C$7)/100</f>
        <v>0.273</v>
      </c>
      <c r="G34" s="479" t="str">
        <f aca="false">IF(A34="","",IF(ISERROR(VLOOKUP($A34,'liste reference'!$A$7:$P$904,13,0)),IF(ISERROR(VLOOKUP($A34,'liste reference'!$B$7:$P$904,12,0)),"    -",VLOOKUP($A34,'liste reference'!$B$7:$P$904,12,0)),VLOOKUP($A34,'liste reference'!$A$7:$P$904,13,0)))</f>
        <v>PHy</v>
      </c>
      <c r="H34" s="480" t="n">
        <f aca="false">IF(A34="","x",IF(ISERROR(VLOOKUP($A34,'liste reference'!$A$8:$P$904,14,0)),IF(ISERROR(VLOOKUP($A34,'liste reference'!$B$8:$P$904,13,0)),"x",VLOOKUP($A34,'liste reference'!$B$8:$P$904,13,0)),VLOOKUP($A34,'liste reference'!$A$8:$P$904,14,0)))</f>
        <v>7</v>
      </c>
      <c r="I34" s="481" t="n">
        <f aca="false">IF(ISNUMBER(H34),IF(ISERROR(VLOOKUP($A34,'liste reference'!$A$7:$P$904,3,0)),IF(ISERROR(VLOOKUP($A34,'liste reference'!$B$7:$P$904,2,0)),"",VLOOKUP($A34,'liste reference'!$B$7:$P$904,2,0)),VLOOKUP($A34,'liste reference'!$A$7:$P$904,3,0)),"")</f>
        <v>11</v>
      </c>
      <c r="J34" s="481" t="n">
        <f aca="false">IF(ISNUMBER(H34),IF(ISERROR(VLOOKUP($A34,'liste reference'!$A$7:$P$904,4,0)),IF(ISERROR(VLOOKUP($A34,'liste reference'!$B$7:$P$904,3,0)),"",VLOOKUP($A34,'liste reference'!$B$7:$P$904,3,0)),VLOOKUP($A34,'liste reference'!$A$7:$P$904,4,0)),"")</f>
        <v>2</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Groenlandia densa</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1638</v>
      </c>
      <c r="Q34" s="486" t="n">
        <f aca="false">IF(ISTEXT(H34),"",(B34*$B$7/100)+(C34*$C$7/100))</f>
        <v>0.273</v>
      </c>
      <c r="R34" s="487" t="n">
        <f aca="false">IF(OR(ISTEXT(H34),Q34=0),"",IF(Q34&lt;0.1,1,IF(Q34&lt;1,2,IF(Q34&lt;10,3,IF(Q34&lt;50,4,IF(Q34&gt;=50,5,""))))))</f>
        <v>2</v>
      </c>
      <c r="S34" s="487" t="n">
        <f aca="false">IF(ISERROR(R34*I34),0,R34*I34)</f>
        <v>22</v>
      </c>
      <c r="T34" s="487" t="n">
        <f aca="false">IF(ISERROR(R34*I34*J34),0,R34*I34*J34)</f>
        <v>44</v>
      </c>
      <c r="U34" s="499" t="n">
        <f aca="false">IF(ISERROR(R34*J34),0,R34*J34)</f>
        <v>4</v>
      </c>
      <c r="V34" s="488" t="str">
        <f aca="false">IF(AND(A34="",F34=0),"",IF(F34=0,"Il manque le(s) % de rec. !",""))</f>
        <v/>
      </c>
      <c r="W34" s="489"/>
      <c r="Y34" s="490" t="str">
        <f aca="false">IF(A34="new.cod","NEWCOD",IF(AND((Z34=""),ISTEXT(A34)),A34,IF(Z34="","",INDEX('liste reference'!$A$8:$A$904,Z34))))</f>
        <v>GRODEN</v>
      </c>
      <c r="Z34" s="280" t="n">
        <f aca="false">IF(ISERROR(MATCH(A34,'liste reference'!$A$8:$A$904,0)),IF(ISERROR(MATCH(A34,'liste reference'!$B$8:$B$904,0)),"",(MATCH(A34,'liste reference'!$B$8:$B$904,0))),(MATCH(A34,'liste reference'!$A$8:$A$904,0)))</f>
        <v>345</v>
      </c>
      <c r="AA34" s="491"/>
      <c r="AB34" s="492"/>
      <c r="AC34" s="492"/>
      <c r="BB34" s="280" t="n">
        <f aca="false">IF(A34="","",1)</f>
        <v>1</v>
      </c>
    </row>
    <row r="35" customFormat="false" ht="13.2" hidden="false" customHeight="false" outlineLevel="0" collapsed="false">
      <c r="A35" s="493" t="s">
        <v>2002</v>
      </c>
      <c r="B35" s="494"/>
      <c r="C35" s="495" t="n">
        <v>0.005</v>
      </c>
      <c r="D35" s="477" t="str">
        <f aca="false">IF(ISERROR(VLOOKUP($A35,'liste reference'!$A$7:$D$904,2,0)),IF(ISERROR(VLOOKUP($A35,'liste reference'!$B$7:$D$904,1,0)),"",VLOOKUP($A35,'liste reference'!$B$7:$D$904,1,0)),VLOOKUP($A35,'liste reference'!$A$7:$D$904,2,0))</f>
        <v>Phragmites australis</v>
      </c>
      <c r="E35" s="496" t="e">
        <f aca="false">IF(D35="",0,VLOOKUP(D35,D$22:D34,1,0))</f>
        <v>#N/A</v>
      </c>
      <c r="F35" s="501" t="n">
        <f aca="false">($B35*$B$7+$C35*$C$7)/100</f>
        <v>0.00195</v>
      </c>
      <c r="G35" s="479" t="str">
        <f aca="false">IF(A35="","",IF(ISERROR(VLOOKUP($A35,'liste reference'!$A$7:$P$904,13,0)),IF(ISERROR(VLOOKUP($A35,'liste reference'!$B$7:$P$904,12,0)),"    -",VLOOKUP($A35,'liste reference'!$B$7:$P$904,12,0)),VLOOKUP($A35,'liste reference'!$A$7:$P$904,13,0)))</f>
        <v>PHe</v>
      </c>
      <c r="H35" s="480" t="n">
        <f aca="false">IF(A35="","x",IF(ISERROR(VLOOKUP($A35,'liste reference'!$A$8:$P$904,14,0)),IF(ISERROR(VLOOKUP($A35,'liste reference'!$B$8:$P$904,13,0)),"x",VLOOKUP($A35,'liste reference'!$B$8:$P$904,13,0)),VLOOKUP($A35,'liste reference'!$A$8:$P$904,14,0)))</f>
        <v>8</v>
      </c>
      <c r="I35" s="481" t="n">
        <f aca="false">IF(ISNUMBER(H35),IF(ISERROR(VLOOKUP($A35,'liste reference'!$A$7:$P$904,3,0)),IF(ISERROR(VLOOKUP($A35,'liste reference'!$B$7:$P$904,2,0)),"",VLOOKUP($A35,'liste reference'!$B$7:$P$904,2,0)),VLOOKUP($A35,'liste reference'!$A$7:$P$904,3,0)),"")</f>
        <v>9</v>
      </c>
      <c r="J35" s="481" t="n">
        <f aca="false">IF(ISNUMBER(H35),IF(ISERROR(VLOOKUP($A35,'liste reference'!$A$7:$P$904,4,0)),IF(ISERROR(VLOOKUP($A35,'liste reference'!$B$7:$P$904,3,0)),"",VLOOKUP($A35,'liste reference'!$B$7:$P$904,3,0)),VLOOKUP($A35,'liste reference'!$A$7:$P$904,4,0)),"")</f>
        <v>2</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Phragmites australis</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1579</v>
      </c>
      <c r="Q35" s="486" t="n">
        <f aca="false">IF(ISTEXT(H35),"",(B35*$B$7/100)+(C35*$C$7/100))</f>
        <v>0.00195</v>
      </c>
      <c r="R35" s="487" t="n">
        <f aca="false">IF(OR(ISTEXT(H35),Q35=0),"",IF(Q35&lt;0.1,1,IF(Q35&lt;1,2,IF(Q35&lt;10,3,IF(Q35&lt;50,4,IF(Q35&gt;=50,5,""))))))</f>
        <v>1</v>
      </c>
      <c r="S35" s="487" t="n">
        <f aca="false">IF(ISERROR(R35*I35),0,R35*I35)</f>
        <v>9</v>
      </c>
      <c r="T35" s="487" t="n">
        <f aca="false">IF(ISERROR(R35*I35*J35),0,R35*I35*J35)</f>
        <v>18</v>
      </c>
      <c r="U35" s="499" t="n">
        <f aca="false">IF(ISERROR(R35*J35),0,R35*J35)</f>
        <v>2</v>
      </c>
      <c r="V35" s="488" t="str">
        <f aca="false">IF(AND(A35="",F35=0),"",IF(F35=0,"Il manque le(s) % de rec. !",""))</f>
        <v/>
      </c>
      <c r="W35" s="489"/>
      <c r="X35" s="489"/>
      <c r="Y35" s="490" t="str">
        <f aca="false">IF(A35="new.cod","NEWCOD",IF(AND((Z35=""),ISTEXT(A35)),A35,IF(Z35="","",INDEX('liste reference'!$A$8:$A$904,Z35))))</f>
        <v>PHRAUS</v>
      </c>
      <c r="Z35" s="280" t="n">
        <f aca="false">IF(ISERROR(MATCH(A35,'liste reference'!$A$8:$A$904,0)),IF(ISERROR(MATCH(A35,'liste reference'!$B$8:$B$904,0)),"",(MATCH(A35,'liste reference'!$B$8:$B$904,0))),(MATCH(A35,'liste reference'!$A$8:$A$904,0)))</f>
        <v>635</v>
      </c>
      <c r="AA35" s="491"/>
      <c r="AB35" s="492"/>
      <c r="AC35" s="492"/>
      <c r="BB35" s="280" t="n">
        <f aca="false">IF(A35="","",1)</f>
        <v>1</v>
      </c>
    </row>
    <row r="36" customFormat="false" ht="13.2" hidden="false" customHeight="false" outlineLevel="0" collapsed="false">
      <c r="A36" s="493" t="s">
        <v>2307</v>
      </c>
      <c r="B36" s="494"/>
      <c r="C36" s="495" t="n">
        <v>0.005</v>
      </c>
      <c r="D36" s="477" t="str">
        <f aca="false">IF(ISERROR(VLOOKUP($A36,'liste reference'!$A$7:$D$904,2,0)),IF(ISERROR(VLOOKUP($A36,'liste reference'!$B$7:$D$904,1,0)),"",VLOOKUP($A36,'liste reference'!$B$7:$D$904,1,0)),VLOOKUP($A36,'liste reference'!$A$7:$D$904,2,0))</f>
        <v>Juncus articulatus</v>
      </c>
      <c r="E36" s="496" t="e">
        <f aca="false">IF(D36="",0,VLOOKUP(D36,D$22:D35,1,0))</f>
        <v>#N/A</v>
      </c>
      <c r="F36" s="501" t="n">
        <f aca="false">($B36*$B$7+$C36*$C$7)/100</f>
        <v>0.00195</v>
      </c>
      <c r="G36" s="479" t="str">
        <f aca="false">IF(A36="","",IF(ISERROR(VLOOKUP($A36,'liste reference'!$A$7:$P$904,13,0)),IF(ISERROR(VLOOKUP($A36,'liste reference'!$B$7:$P$904,12,0)),"    -",VLOOKUP($A36,'liste reference'!$B$7:$P$904,12,0)),VLOOKUP($A36,'liste reference'!$A$7:$P$904,13,0)))</f>
        <v>PHg</v>
      </c>
      <c r="H36" s="480" t="n">
        <f aca="false">IF(A36="","x",IF(ISERROR(VLOOKUP($A36,'liste reference'!$A$8:$P$904,14,0)),IF(ISERROR(VLOOKUP($A36,'liste reference'!$B$8:$P$904,13,0)),"x",VLOOKUP($A36,'liste reference'!$B$8:$P$904,13,0)),VLOOKUP($A36,'liste reference'!$A$8:$P$904,14,0)))</f>
        <v>9</v>
      </c>
      <c r="I36" s="481" t="n">
        <f aca="false">IF(ISNUMBER(H36),IF(ISERROR(VLOOKUP($A36,'liste reference'!$A$7:$P$904,3,0)),IF(ISERROR(VLOOKUP($A36,'liste reference'!$B$7:$P$904,2,0)),"",VLOOKUP($A36,'liste reference'!$B$7:$P$904,2,0)),VLOOKUP($A36,'liste reference'!$A$7:$P$904,3,0)),"")</f>
        <v>0</v>
      </c>
      <c r="J36" s="481" t="n">
        <f aca="false">IF(ISNUMBER(H36),IF(ISERROR(VLOOKUP($A36,'liste reference'!$A$7:$P$904,4,0)),IF(ISERROR(VLOOKUP($A36,'liste reference'!$B$7:$P$904,3,0)),"",VLOOKUP($A36,'liste reference'!$B$7:$P$904,3,0)),VLOOKUP($A36,'liste reference'!$A$7:$P$904,4,0)),"")</f>
        <v>0</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Juncus articulatus</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1609</v>
      </c>
      <c r="Q36" s="486" t="n">
        <f aca="false">IF(ISTEXT(H36),"",(B36*$B$7/100)+(C36*$C$7/100))</f>
        <v>0.00195</v>
      </c>
      <c r="R36" s="487" t="n">
        <f aca="false">IF(OR(ISTEXT(H36),Q36=0),"",IF(Q36&lt;0.1,1,IF(Q36&lt;1,2,IF(Q36&lt;10,3,IF(Q36&lt;50,4,IF(Q36&gt;=50,5,""))))))</f>
        <v>1</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JUNART</v>
      </c>
      <c r="Z36" s="280" t="n">
        <f aca="false">IF(ISERROR(MATCH(A36,'liste reference'!$A$8:$A$904,0)),IF(ISERROR(MATCH(A36,'liste reference'!$B$8:$B$904,0)),"",(MATCH(A36,'liste reference'!$B$8:$B$904,0))),(MATCH(A36,'liste reference'!$A$8:$A$904,0)))</f>
        <v>768</v>
      </c>
      <c r="AA36" s="491"/>
      <c r="AB36" s="492"/>
      <c r="AC36" s="492"/>
      <c r="BB36" s="280" t="n">
        <f aca="false">IF(A36="","",1)</f>
        <v>1</v>
      </c>
    </row>
    <row r="37" customFormat="false" ht="13.2" hidden="false" customHeight="false" outlineLevel="0" collapsed="false">
      <c r="A37" s="493" t="s">
        <v>2687</v>
      </c>
      <c r="B37" s="494" t="n">
        <v>0.01</v>
      </c>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0.0061</v>
      </c>
      <c r="G37" s="479" t="str">
        <f aca="false">IF(A37="","",IF(ISERROR(VLOOKUP($A37,'liste reference'!$A$7:$P$904,13,0)),IF(ISERROR(VLOOKUP($A37,'liste reference'!$B$7:$P$904,12,0)),"    -",VLOOKUP($A37,'liste reference'!$B$7:$P$904,12,0)),VLOOKUP($A37,'liste reference'!$A$7:$P$904,13,0)))</f>
        <v>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Cymbellaceae</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No</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newcod</v>
      </c>
      <c r="Z37" s="280" t="str">
        <f aca="false">IF(ISERROR(MATCH(A37,'liste reference'!$A$8:$A$904,0)),IF(ISERROR(MATCH(A37,'liste reference'!$B$8:$B$904,0)),"",(MATCH(A37,'liste reference'!$B$8:$B$904,0))),(MATCH(A37,'liste reference'!$A$8:$A$904,0)))</f>
        <v/>
      </c>
      <c r="AA37" s="491"/>
      <c r="AB37" s="492" t="s">
        <v>2688</v>
      </c>
      <c r="AC37" s="492"/>
      <c r="BB37" s="280" t="n">
        <f aca="false">IF(A37="","",1)</f>
        <v>1</v>
      </c>
    </row>
    <row r="38" customFormat="false" ht="13.2" hidden="false" customHeight="false" outlineLevel="0" collapsed="false">
      <c r="A38" s="493" t="s">
        <v>2687</v>
      </c>
      <c r="B38" s="494" t="n">
        <v>1</v>
      </c>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0.61</v>
      </c>
      <c r="G38" s="479" t="str">
        <f aca="false">IF(A38="","",IF(ISERROR(VLOOKUP($A38,'liste reference'!$A$7:$P$904,13,0)),IF(ISERROR(VLOOKUP($A38,'liste reference'!$B$7:$P$904,12,0)),"    -",VLOOKUP($A38,'liste reference'!$B$7:$P$904,12,0)),VLOOKUP($A38,'liste reference'!$A$7:$P$904,13,0)))</f>
        <v>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Didymosphenia sp.</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No</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newcod</v>
      </c>
      <c r="Z38" s="280" t="str">
        <f aca="false">IF(ISERROR(MATCH(A38,'liste reference'!$A$8:$A$904,0)),IF(ISERROR(MATCH(A38,'liste reference'!$B$8:$B$904,0)),"",(MATCH(A38,'liste reference'!$B$8:$B$904,0))),(MATCH(A38,'liste reference'!$A$8:$A$904,0)))</f>
        <v/>
      </c>
      <c r="AA38" s="491"/>
      <c r="AB38" s="492" t="s">
        <v>2689</v>
      </c>
      <c r="AC38" s="492"/>
      <c r="BB38" s="280" t="n">
        <f aca="false">IF(A38="","",1)</f>
        <v>1</v>
      </c>
    </row>
    <row r="39" customFormat="false" ht="13.2" hidden="false" customHeight="false" outlineLevel="0" collapsed="false">
      <c r="A39" s="493" t="s">
        <v>2687</v>
      </c>
      <c r="B39" s="494" t="n">
        <v>0.01</v>
      </c>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0.0061</v>
      </c>
      <c r="G39" s="479" t="str">
        <f aca="false">IF(A39="","",IF(ISERROR(VLOOKUP($A39,'liste reference'!$A$7:$P$904,13,0)),IF(ISERROR(VLOOKUP($A39,'liste reference'!$B$7:$P$904,12,0)),"    -",VLOOKUP($A39,'liste reference'!$B$7:$P$904,12,0)),VLOOKUP($A39,'liste reference'!$A$7:$P$904,13,0)))</f>
        <v>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Didymodon tophaceus</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No</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newcod</v>
      </c>
      <c r="Z39" s="280" t="str">
        <f aca="false">IF(ISERROR(MATCH(A39,'liste reference'!$A$8:$A$904,0)),IF(ISERROR(MATCH(A39,'liste reference'!$B$8:$B$904,0)),"",(MATCH(A39,'liste reference'!$B$8:$B$904,0))),(MATCH(A39,'liste reference'!$A$8:$A$904,0)))</f>
        <v/>
      </c>
      <c r="AA39" s="491"/>
      <c r="AB39" s="492" t="s">
        <v>2690</v>
      </c>
      <c r="AC39" s="492"/>
      <c r="BB39" s="280" t="n">
        <f aca="false">IF(A39="","",1)</f>
        <v>1</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2691</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Durance</v>
      </c>
      <c r="B84" s="529" t="str">
        <f aca="false">C3</f>
        <v>Rochebrune</v>
      </c>
      <c r="C84" s="530" t="n">
        <f aca="false">A4</f>
        <v>41521</v>
      </c>
      <c r="D84" s="531" t="n">
        <f aca="false">IF(ISERROR(SUM($T$23:$T$82)/SUM($U$23:$U$82)),"",SUM($T$23:$T$82)/SUM($U$23:$U$82))</f>
        <v>12.6129032258065</v>
      </c>
      <c r="E84" s="532" t="n">
        <f aca="false">N13</f>
        <v>17</v>
      </c>
      <c r="F84" s="529" t="n">
        <f aca="false">N14</f>
        <v>14</v>
      </c>
      <c r="G84" s="529" t="n">
        <f aca="false">N15</f>
        <v>4</v>
      </c>
      <c r="H84" s="529" t="n">
        <f aca="false">N16</f>
        <v>6</v>
      </c>
      <c r="I84" s="529" t="n">
        <f aca="false">N17</f>
        <v>2</v>
      </c>
      <c r="J84" s="533" t="n">
        <f aca="false">N8</f>
        <v>10.2857142857143</v>
      </c>
      <c r="K84" s="531" t="n">
        <f aca="false">N9</f>
        <v>5.13292692092048</v>
      </c>
      <c r="L84" s="532" t="n">
        <f aca="false">N10</f>
        <v>0</v>
      </c>
      <c r="M84" s="532" t="n">
        <f aca="false">N11</f>
        <v>18</v>
      </c>
      <c r="N84" s="531" t="n">
        <f aca="false">O8</f>
        <v>1.57142857142857</v>
      </c>
      <c r="O84" s="531" t="n">
        <f aca="false">O9</f>
        <v>0.903507902905251</v>
      </c>
      <c r="P84" s="532" t="n">
        <f aca="false">O10</f>
        <v>0</v>
      </c>
      <c r="Q84" s="532" t="n">
        <f aca="false">O11</f>
        <v>3</v>
      </c>
      <c r="R84" s="532" t="n">
        <f aca="false">F21</f>
        <v>5.25375</v>
      </c>
      <c r="S84" s="532" t="n">
        <f aca="false">K11</f>
        <v>0</v>
      </c>
      <c r="T84" s="532" t="n">
        <f aca="false">K12</f>
        <v>8</v>
      </c>
      <c r="U84" s="532" t="n">
        <f aca="false">K13</f>
        <v>2</v>
      </c>
      <c r="V84" s="534" t="n">
        <f aca="false">K14</f>
        <v>1</v>
      </c>
      <c r="W84" s="535" t="n">
        <f aca="false">K15</f>
        <v>3</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2692</v>
      </c>
      <c r="R86" s="280"/>
      <c r="S86" s="488"/>
      <c r="T86" s="280"/>
      <c r="U86" s="280"/>
      <c r="V86" s="280"/>
    </row>
    <row r="87" customFormat="false" ht="13.2" hidden="true" customHeight="false" outlineLevel="0" collapsed="false">
      <c r="P87" s="280"/>
      <c r="Q87" s="280" t="s">
        <v>2693</v>
      </c>
      <c r="R87" s="280"/>
      <c r="S87" s="488" t="n">
        <f aca="false">VLOOKUP(MAX($S$23:$S$82),($S$23:$U$82),1,0)</f>
        <v>48</v>
      </c>
      <c r="T87" s="280"/>
      <c r="U87" s="280"/>
      <c r="V87" s="280"/>
    </row>
    <row r="88" customFormat="false" ht="13.2" hidden="true" customHeight="false" outlineLevel="0" collapsed="false">
      <c r="P88" s="280"/>
      <c r="Q88" s="280" t="s">
        <v>2694</v>
      </c>
      <c r="R88" s="280"/>
      <c r="S88" s="488" t="n">
        <f aca="false">VLOOKUP((S87),($S$23:$U$82),2,0)</f>
        <v>96</v>
      </c>
      <c r="T88" s="280"/>
      <c r="U88" s="280"/>
      <c r="V88" s="280"/>
    </row>
    <row r="89" customFormat="false" ht="13.2" hidden="true" customHeight="false" outlineLevel="0" collapsed="false">
      <c r="Q89" s="280" t="s">
        <v>2695</v>
      </c>
      <c r="R89" s="280"/>
      <c r="S89" s="488" t="n">
        <f aca="false">VLOOKUP((S87),($S$23:$U$82),3,0)</f>
        <v>6</v>
      </c>
      <c r="T89" s="280"/>
    </row>
    <row r="90" customFormat="false" ht="13.2" hidden="false" customHeight="false" outlineLevel="0" collapsed="false">
      <c r="Q90" s="280" t="s">
        <v>2696</v>
      </c>
      <c r="R90" s="280"/>
      <c r="S90" s="538" t="n">
        <f aca="false">IF(ISERROR(SUM($T$23:$T$82)/SUM($U$23:$U$82)),"",(SUM($T$23:$T$82)-S88)/(SUM($U$23:$U$82)-S89))</f>
        <v>11.8</v>
      </c>
      <c r="T90" s="280"/>
    </row>
    <row r="91" customFormat="false" ht="13.2" hidden="false" customHeight="false" outlineLevel="0" collapsed="false">
      <c r="Q91" s="487" t="s">
        <v>2697</v>
      </c>
      <c r="R91" s="487"/>
      <c r="S91" s="487" t="str">
        <f aca="false">INDEX('liste reference'!$A$8:$A$904,$T$91)</f>
        <v>BATSPX</v>
      </c>
      <c r="T91" s="280" t="n">
        <f aca="false">IF(ISERROR(MATCH($S$93,'liste reference'!$A$8:$A$904,0)),MATCH($S$93,'liste reference'!$B$8:$B$904,0),(MATCH($S$93,'liste reference'!$A$8:$A$904,0)))</f>
        <v>7</v>
      </c>
      <c r="U91" s="527"/>
    </row>
    <row r="92" customFormat="false" ht="13.2" hidden="false" customHeight="false" outlineLevel="0" collapsed="false">
      <c r="Q92" s="280" t="s">
        <v>2698</v>
      </c>
      <c r="R92" s="280"/>
      <c r="S92" s="280" t="n">
        <f aca="false">MATCH(S87,$S$23:$S$82,0)</f>
        <v>2</v>
      </c>
      <c r="T92" s="280"/>
    </row>
    <row r="93" customFormat="false" ht="13.2" hidden="false" customHeight="false" outlineLevel="0" collapsed="false">
      <c r="Q93" s="487" t="s">
        <v>2699</v>
      </c>
      <c r="R93" s="280"/>
      <c r="S93" s="487" t="str">
        <f aca="false">INDEX($A$23:$A$82,$S$92)</f>
        <v>BATSPX</v>
      </c>
      <c r="T93" s="280"/>
    </row>
    <row r="94" customFormat="false" ht="13.2" hidden="false" customHeight="false" outlineLevel="0" collapsed="false">
      <c r="S94" s="527"/>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3">
    <cfRule type="cellIs" priority="16" operator="between" aboveAverage="0" equalAverage="0" bottom="0" percent="0" rank="0" text="" dxfId="25">
      <formula>"(Nom de la station)"</formula>
      <formula>"(Nom de la station)"</formula>
    </cfRule>
    <cfRule type="cellIs" priority="17" operator="notBetween" aboveAverage="0" equalAverage="0" bottom="0" percent="0" rank="0" text="" dxfId="26">
      <formula>"(Nom de la station)"</formula>
      <formula>"(Nom de la station)"</formula>
    </cfRule>
  </conditionalFormatting>
  <conditionalFormatting sqref="K3">
    <cfRule type="cellIs" priority="18" operator="between" aboveAverage="0" equalAverage="0" bottom="0" percent="0" rank="0" text="" dxfId="27">
      <formula>"(Code station)"</formula>
      <formula>"(Code station)"</formula>
    </cfRule>
    <cfRule type="cellIs" priority="19" operator="notBetween" aboveAverage="0" equalAverage="0" bottom="0" percent="0" rank="0" text="" dxfId="28">
      <formula>"(Code station)"</formula>
      <formula>"(Code station)"</formula>
    </cfRule>
  </conditionalFormatting>
  <conditionalFormatting sqref="K23:K82">
    <cfRule type="cellIs" priority="20" operator="equal" aboveAverage="0" equalAverage="0" bottom="0" percent="0" rank="0" text="" dxfId="29">
      <formula>"Remplir le champs 'Nouveau taxa' svp."</formula>
    </cfRule>
  </conditionalFormatting>
  <conditionalFormatting sqref="P23:P82">
    <cfRule type="cellIs" priority="21" operator="equal" aboveAverage="0" equalAverage="0" bottom="0" percent="0" rank="0" text="" dxfId="30">
      <formula>"code non répertorié ou synonyme"</formula>
    </cfRule>
    <cfRule type="expression" priority="22" aboveAverage="0" equalAverage="0" bottom="0" percent="0" rank="0" text="" dxfId="31">
      <formula>AND($I23="",$J23="")</formula>
    </cfRule>
    <cfRule type="cellIs" priority="23" operator="equal" aboveAverage="0" equalAverage="0" bottom="0" percent="0" rank="0" text="" dxfId="32">
      <formula>"DEJA SAISI !"</formula>
    </cfRule>
  </conditionalFormatting>
  <conditionalFormatting sqref="C2">
    <cfRule type="cellIs" priority="24" operator="between" aboveAverage="0" equalAverage="0" bottom="0" percent="0" rank="0" text="" dxfId="33">
      <formula>"(Opérateurs)"</formula>
      <formula>"(Opérateurs)"</formula>
    </cfRule>
    <cfRule type="cellIs" priority="25" operator="notBetween" aboveAverage="0" equalAverage="0" bottom="0" percent="0" rank="0" text="" dxfId="34">
      <formula>"(Opérateurs)"</formula>
      <formula>"(Opérateurs)"</formula>
    </cfRule>
  </conditionalFormatting>
  <conditionalFormatting sqref="M3">
    <cfRule type="cellIs" priority="26" operator="between" aboveAverage="0" equalAverage="0" bottom="0" percent="0" rank="0" text="" dxfId="35">
      <formula>"(Dossier, type réseau)"</formula>
      <formula>"(Dossier, type réseau)"</formula>
    </cfRule>
    <cfRule type="cellIs" priority="27" operator="notBetween" aboveAverage="0" equalAverage="0" bottom="0" percent="0" rank="0" text="" dxfId="36">
      <formula>"(Dossier, type réseau)"</formula>
      <formula>"(Dossier, type réseau)"</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2700</v>
      </c>
      <c r="B2" s="284"/>
      <c r="C2" s="285" t="s">
        <v>2701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2702</v>
      </c>
      <c r="B3" s="284"/>
      <c r="C3" s="283" t="s">
        <v>2703</v>
      </c>
      <c r="D3" s="294"/>
      <c r="E3" s="294"/>
      <c r="F3" s="295"/>
      <c r="G3" s="295"/>
      <c r="H3" s="296"/>
      <c r="I3" s="297"/>
      <c r="J3" s="296"/>
      <c r="K3" s="298" t="s">
        <v>2704</v>
      </c>
      <c r="L3" s="299"/>
      <c r="M3" s="300" t="s">
        <v>2705</v>
      </c>
      <c r="N3" s="301"/>
      <c r="O3" s="301"/>
      <c r="P3" s="302"/>
      <c r="Q3" s="280"/>
      <c r="R3" s="280"/>
      <c r="S3" s="280"/>
      <c r="T3" s="280"/>
      <c r="U3" s="280"/>
      <c r="V3" s="280"/>
      <c r="W3" s="292"/>
      <c r="X3" s="293"/>
    </row>
    <row r="4" customFormat="false" ht="13.8" hidden="false" customHeight="false" outlineLevel="0" collapsed="false">
      <c r="A4" s="303" t="s">
        <v>2706</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8"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3.2"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2637</v>
      </c>
      <c r="B10" s="368"/>
      <c r="C10" s="369"/>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0</v>
      </c>
      <c r="L12" s="392"/>
      <c r="M12" s="393"/>
      <c r="N12" s="394" t="s">
        <v>2640</v>
      </c>
      <c r="O12" s="395"/>
      <c r="P12" s="396"/>
      <c r="Q12" s="280"/>
      <c r="R12" s="280"/>
      <c r="S12" s="280"/>
      <c r="T12" s="280"/>
      <c r="U12" s="280"/>
      <c r="V12" s="280"/>
    </row>
    <row r="13" customFormat="false" ht="13.2"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0</v>
      </c>
      <c r="L13" s="386"/>
      <c r="M13" s="397" t="s">
        <v>2649</v>
      </c>
      <c r="N13" s="398" t="n">
        <f aca="false">COUNTIF(F23:F82,"&gt;0")</f>
        <v>0</v>
      </c>
      <c r="O13" s="399"/>
      <c r="P13" s="400"/>
      <c r="Q13" s="280"/>
      <c r="R13" s="280"/>
      <c r="S13" s="280"/>
      <c r="T13" s="280"/>
      <c r="U13" s="280"/>
      <c r="V13" s="280"/>
    </row>
    <row r="14" customFormat="false" ht="13.2"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0</v>
      </c>
      <c r="O14" s="403"/>
      <c r="P14" s="400"/>
      <c r="Q14" s="280"/>
      <c r="R14" s="280"/>
      <c r="S14" s="280"/>
      <c r="T14" s="280"/>
      <c r="U14" s="280"/>
      <c r="V14" s="280"/>
    </row>
    <row r="15" customFormat="false" ht="13.2"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0</v>
      </c>
      <c r="L15" s="386"/>
      <c r="M15" s="407" t="s">
        <v>2655</v>
      </c>
      <c r="N15" s="408" t="n">
        <f aca="false">COUNTIF(J23:J82,"=1")</f>
        <v>0</v>
      </c>
      <c r="O15" s="409"/>
      <c r="P15" s="400"/>
      <c r="Q15" s="280"/>
      <c r="R15" s="280"/>
      <c r="S15" s="280"/>
      <c r="T15" s="280"/>
      <c r="U15" s="280"/>
      <c r="V15" s="280"/>
    </row>
    <row r="16" customFormat="false" ht="13.2"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0</v>
      </c>
      <c r="O16" s="409"/>
      <c r="P16" s="400"/>
      <c r="Q16" s="280"/>
      <c r="R16" s="280"/>
      <c r="S16" s="280"/>
      <c r="T16" s="280"/>
      <c r="U16" s="280"/>
      <c r="V16" s="280"/>
    </row>
    <row r="17" customFormat="false" ht="13.2"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0</v>
      </c>
      <c r="O17" s="409"/>
      <c r="P17" s="400"/>
      <c r="Q17" s="280"/>
      <c r="R17" s="280"/>
      <c r="S17" s="280"/>
      <c r="T17" s="280"/>
      <c r="U17" s="280"/>
      <c r="V17" s="280"/>
    </row>
    <row r="18" customFormat="false" ht="13.2"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2662</v>
      </c>
      <c r="B20" s="435" t="n">
        <f aca="false">SUM(B23:B82)</f>
        <v>0</v>
      </c>
      <c r="C20" s="436" t="n">
        <f aca="false">SUM(C23:C82)</f>
        <v>0</v>
      </c>
      <c r="D20" s="437"/>
      <c r="E20" s="438" t="s">
        <v>2661</v>
      </c>
      <c r="F20" s="439" t="n">
        <f aca="false">($B20*$B$7+$C20*$C$7)/100</f>
        <v>0</v>
      </c>
      <c r="G20" s="440"/>
      <c r="H20" s="441"/>
      <c r="I20" s="442"/>
      <c r="J20" s="442"/>
      <c r="K20" s="443"/>
      <c r="L20" s="317"/>
      <c r="M20" s="444"/>
      <c r="N20" s="444"/>
      <c r="O20" s="445"/>
      <c r="P20" s="446"/>
      <c r="Q20" s="447" t="s">
        <v>2663</v>
      </c>
      <c r="R20" s="280"/>
      <c r="S20" s="280"/>
      <c r="T20" s="280"/>
      <c r="U20" s="280"/>
      <c r="V20" s="280"/>
      <c r="W20" s="420"/>
    </row>
    <row r="21" customFormat="false" ht="13.2" hidden="false" customHeight="false" outlineLevel="0" collapsed="false">
      <c r="A21" s="448" t="s">
        <v>2665</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2666</v>
      </c>
      <c r="R21" s="280"/>
      <c r="S21" s="280"/>
      <c r="T21" s="280"/>
      <c r="U21" s="280"/>
      <c r="V21" s="280"/>
      <c r="W21" s="420"/>
    </row>
    <row r="22" customFormat="false" ht="13.2"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2691</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2692</v>
      </c>
      <c r="R86" s="280"/>
      <c r="S86" s="488"/>
      <c r="T86" s="280"/>
      <c r="U86" s="280"/>
      <c r="V86" s="280"/>
    </row>
    <row r="87" customFormat="false" ht="13.2" hidden="true" customHeight="false" outlineLevel="0" collapsed="false">
      <c r="P87" s="280"/>
      <c r="Q87" s="280" t="s">
        <v>2693</v>
      </c>
      <c r="R87" s="280"/>
      <c r="S87" s="488" t="n">
        <f aca="false">VLOOKUP(MAX($S$23:$S$82),($S$23:$U$82),1,0)</f>
        <v>0</v>
      </c>
      <c r="T87" s="280"/>
      <c r="U87" s="280"/>
      <c r="V87" s="280"/>
    </row>
    <row r="88" customFormat="false" ht="13.2" hidden="true" customHeight="false" outlineLevel="0" collapsed="false">
      <c r="P88" s="280"/>
      <c r="Q88" s="280" t="s">
        <v>2694</v>
      </c>
      <c r="R88" s="280"/>
      <c r="S88" s="488" t="n">
        <f aca="false">VLOOKUP((S87),($S$23:$U$82),2,0)</f>
        <v>0</v>
      </c>
      <c r="T88" s="280"/>
      <c r="U88" s="280"/>
      <c r="V88" s="280"/>
    </row>
    <row r="89" customFormat="false" ht="13.2" hidden="true" customHeight="false" outlineLevel="0" collapsed="false">
      <c r="Q89" s="280" t="s">
        <v>2695</v>
      </c>
      <c r="R89" s="280"/>
      <c r="S89" s="488" t="n">
        <f aca="false">VLOOKUP((S87),($S$23:$U$82),3,0)</f>
        <v>0</v>
      </c>
      <c r="T89" s="280"/>
    </row>
    <row r="90" customFormat="false" ht="13.2" hidden="false" customHeight="false" outlineLevel="0" collapsed="false">
      <c r="Q90" s="280" t="s">
        <v>2696</v>
      </c>
      <c r="R90" s="280"/>
      <c r="S90" s="538" t="str">
        <f aca="false">IF(ISERROR(SUM($T$23:$T$82)/SUM($U$23:$U$82)),"",(SUM($T$23:$T$82)-S88)/(SUM($U$23:$U$82)-S89))</f>
        <v/>
      </c>
      <c r="T90" s="280"/>
    </row>
    <row r="91" customFormat="false" ht="13.2" hidden="false" customHeight="false" outlineLevel="0" collapsed="false">
      <c r="Q91" s="487" t="s">
        <v>2697</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2698</v>
      </c>
      <c r="R92" s="280"/>
      <c r="S92" s="280" t="n">
        <f aca="false">MATCH(S87,$S$23:$S$82,0)</f>
        <v>1</v>
      </c>
      <c r="T92" s="280"/>
    </row>
    <row r="93" customFormat="false" ht="13.2" hidden="false" customHeight="false" outlineLevel="0" collapsed="false">
      <c r="Q93" s="487" t="s">
        <v>2699</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2707</v>
      </c>
      <c r="B1" s="549"/>
      <c r="C1" s="549"/>
      <c r="D1" s="549"/>
    </row>
    <row r="2" customFormat="false" ht="13.8" hidden="false" customHeight="false" outlineLevel="0" collapsed="false">
      <c r="A2" s="550" t="s">
        <v>2708</v>
      </c>
      <c r="B2" s="551"/>
      <c r="C2" s="552"/>
      <c r="D2" s="552"/>
    </row>
    <row r="3" customFormat="false" ht="14.4" hidden="false" customHeight="false" outlineLevel="0" collapsed="false">
      <c r="A3" s="550" t="s">
        <v>2709</v>
      </c>
      <c r="B3" s="551"/>
      <c r="C3" s="552"/>
      <c r="D3" s="553" t="s">
        <v>2710</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2711</v>
      </c>
      <c r="G15" s="571"/>
      <c r="H15" s="572" t="s">
        <v>2712</v>
      </c>
      <c r="I15" s="571"/>
    </row>
    <row r="16" customFormat="false" ht="14.4" hidden="false" customHeight="false" outlineLevel="0" collapsed="false">
      <c r="A16" s="567" t="s">
        <v>1708</v>
      </c>
      <c r="B16" s="566" t="s">
        <v>1709</v>
      </c>
      <c r="C16" s="568"/>
      <c r="D16" s="569"/>
      <c r="F16" s="573" t="s">
        <v>2713</v>
      </c>
      <c r="G16" s="574"/>
      <c r="H16" s="573" t="s">
        <v>2713</v>
      </c>
      <c r="I16" s="575"/>
    </row>
    <row r="17" customFormat="false" ht="14.4" hidden="false" customHeight="false" outlineLevel="0" collapsed="false">
      <c r="A17" s="565" t="s">
        <v>2127</v>
      </c>
      <c r="B17" s="566" t="s">
        <v>2128</v>
      </c>
      <c r="C17" s="568"/>
      <c r="D17" s="569"/>
      <c r="F17" s="576" t="s">
        <v>2714</v>
      </c>
      <c r="G17" s="577"/>
      <c r="H17" s="576" t="s">
        <v>2714</v>
      </c>
      <c r="I17" s="578"/>
    </row>
    <row r="18" customFormat="false" ht="14.4" hidden="false" customHeight="false" outlineLevel="0" collapsed="false">
      <c r="A18" s="565" t="s">
        <v>1212</v>
      </c>
      <c r="B18" s="566" t="s">
        <v>1213</v>
      </c>
      <c r="C18" s="568"/>
      <c r="D18" s="569"/>
      <c r="F18" s="576" t="s">
        <v>2624</v>
      </c>
      <c r="G18" s="577"/>
      <c r="H18" s="576" t="s">
        <v>2624</v>
      </c>
      <c r="I18" s="578"/>
    </row>
    <row r="19" customFormat="false" ht="14.4" hidden="false" customHeight="false" outlineLevel="0" collapsed="false">
      <c r="A19" s="565" t="s">
        <v>1711</v>
      </c>
      <c r="B19" s="566" t="s">
        <v>1712</v>
      </c>
      <c r="C19" s="568"/>
      <c r="D19" s="569"/>
      <c r="F19" s="576" t="s">
        <v>2715</v>
      </c>
      <c r="G19" s="577"/>
      <c r="H19" s="576" t="s">
        <v>2715</v>
      </c>
      <c r="I19" s="578"/>
    </row>
    <row r="20" customFormat="false" ht="14.4" hidden="false" customHeight="false" outlineLevel="0" collapsed="false">
      <c r="A20" s="567" t="s">
        <v>1714</v>
      </c>
      <c r="B20" s="566" t="s">
        <v>1715</v>
      </c>
      <c r="C20" s="568"/>
      <c r="D20" s="569"/>
      <c r="F20" s="576" t="s">
        <v>2716</v>
      </c>
      <c r="G20" s="577"/>
      <c r="H20" s="576" t="s">
        <v>2716</v>
      </c>
      <c r="I20" s="578"/>
    </row>
    <row r="21" customFormat="false" ht="14.4" hidden="false" customHeight="false" outlineLevel="0" collapsed="false">
      <c r="A21" s="567" t="s">
        <v>1720</v>
      </c>
      <c r="B21" s="566" t="s">
        <v>1721</v>
      </c>
      <c r="C21" s="568"/>
      <c r="D21" s="569"/>
      <c r="F21" s="576" t="s">
        <v>2717</v>
      </c>
      <c r="G21" s="577"/>
      <c r="H21" s="576" t="s">
        <v>2717</v>
      </c>
      <c r="I21" s="578"/>
    </row>
    <row r="22" customFormat="false" ht="14.4" hidden="false" customHeight="false" outlineLevel="0" collapsed="false">
      <c r="A22" s="565" t="s">
        <v>1726</v>
      </c>
      <c r="B22" s="566" t="s">
        <v>1727</v>
      </c>
      <c r="C22" s="568"/>
      <c r="D22" s="569"/>
      <c r="F22" s="576" t="s">
        <v>2718</v>
      </c>
      <c r="G22" s="577"/>
      <c r="H22" s="576" t="s">
        <v>2718</v>
      </c>
      <c r="I22" s="578"/>
    </row>
    <row r="23" customFormat="false" ht="14.4" hidden="false" customHeight="false" outlineLevel="0" collapsed="false">
      <c r="A23" s="565" t="s">
        <v>2465</v>
      </c>
      <c r="B23" s="566" t="s">
        <v>2466</v>
      </c>
      <c r="C23" s="568"/>
      <c r="D23" s="569"/>
      <c r="F23" s="576" t="s">
        <v>2625</v>
      </c>
      <c r="G23" s="577"/>
      <c r="H23" s="576" t="s">
        <v>2625</v>
      </c>
      <c r="I23" s="578"/>
    </row>
    <row r="24" customFormat="false" ht="14.4" hidden="false" customHeight="false" outlineLevel="0" collapsed="false">
      <c r="A24" s="565" t="s">
        <v>2130</v>
      </c>
      <c r="B24" s="566" t="s">
        <v>2131</v>
      </c>
      <c r="C24" s="568"/>
      <c r="D24" s="569"/>
      <c r="F24" s="576" t="s">
        <v>2719</v>
      </c>
      <c r="G24" s="577"/>
      <c r="H24" s="576" t="s">
        <v>2719</v>
      </c>
      <c r="I24" s="578"/>
    </row>
    <row r="25" customFormat="false" ht="14.4" hidden="false" customHeight="false" outlineLevel="0" collapsed="false">
      <c r="A25" s="565" t="s">
        <v>2133</v>
      </c>
      <c r="B25" s="566" t="s">
        <v>2134</v>
      </c>
      <c r="C25" s="568"/>
      <c r="D25" s="569"/>
      <c r="F25" s="579" t="s">
        <v>2720</v>
      </c>
      <c r="G25" s="580"/>
      <c r="H25" s="579" t="s">
        <v>2720</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2683</v>
      </c>
    </row>
    <row r="29" customFormat="false" ht="14.4" hidden="false" customHeight="false" outlineLevel="0" collapsed="false">
      <c r="A29" s="565" t="s">
        <v>1219</v>
      </c>
      <c r="B29" s="566" t="s">
        <v>1220</v>
      </c>
      <c r="C29" s="568"/>
      <c r="D29" s="569"/>
      <c r="F29" s="583" t="s">
        <v>2686</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2721</v>
      </c>
    </row>
    <row r="35" customFormat="false" ht="14.4" hidden="false" customHeight="false" outlineLevel="0" collapsed="false">
      <c r="A35" s="565" t="s">
        <v>52</v>
      </c>
      <c r="B35" s="566" t="s">
        <v>53</v>
      </c>
      <c r="C35" s="568"/>
      <c r="D35" s="569"/>
      <c r="F35" s="583" t="s">
        <v>2722</v>
      </c>
    </row>
    <row r="36" customFormat="false" ht="14.4" hidden="false" customHeight="false" outlineLevel="0" collapsed="false">
      <c r="A36" s="567" t="s">
        <v>320</v>
      </c>
      <c r="B36" s="566" t="s">
        <v>321</v>
      </c>
      <c r="C36" s="568"/>
      <c r="D36" s="569"/>
      <c r="F36" s="585" t="s">
        <v>2639</v>
      </c>
    </row>
    <row r="37" customFormat="false" ht="14.4" hidden="false" customHeight="false" outlineLevel="0" collapsed="false">
      <c r="A37" s="565" t="s">
        <v>2142</v>
      </c>
      <c r="B37" s="566" t="s">
        <v>2723</v>
      </c>
      <c r="C37" s="568"/>
      <c r="D37" s="569"/>
      <c r="F37" s="585" t="s">
        <v>2638</v>
      </c>
    </row>
    <row r="38" customFormat="false" ht="14.4" hidden="false" customHeight="false" outlineLevel="0" collapsed="false">
      <c r="A38" s="565" t="s">
        <v>2145</v>
      </c>
      <c r="B38" s="566" t="s">
        <v>2146</v>
      </c>
      <c r="C38" s="568"/>
      <c r="D38" s="569"/>
      <c r="F38" s="585" t="s">
        <v>2724</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2725</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2726</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2727</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2728</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2729</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2730</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2731</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2013-01-10T22:36:43Z</cp:lastPrinted>
  <dcterms:modified xsi:type="dcterms:W3CDTF">2014-04-07T16:27:04Z</dcterms:modified>
  <cp:revision>0</cp:revision>
  <dc:subject/>
  <dc:title>Feuille d'aide au calcul de l'IBMR</dc:title>
</cp:coreProperties>
</file>