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Sasse à Chateaufort" sheetId="7" state="visible" r:id="rId9"/>
    <sheet name="modele" sheetId="8" state="hidden"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6" name="_xlnm.Print_Area" vbProcedure="false">'Sasse à Chateaufort'!$A$1:$O$82</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'Sasse à Chateaufort'!$A$23:$J$84</definedName>
    <definedName function="false" hidden="false" localSheetId="6" name="NOM" vbProcedure="false">'Sasse à Chateaufort'!$H$1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<sst xmlns="http://schemas.openxmlformats.org/spreadsheetml/2006/main" count="7486" uniqueCount="2752">
  <si>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</si>
  <si>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</si>
  <si>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</si>
  <si>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</si>
  <si>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</si>
  <si>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</si>
  <si>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</si>
  <si>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</si>
  <si>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</si>
  <si>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</si>
  <si>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</si>
  <si>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</si>
  <si>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</si>
  <si>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</si>
  <si>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</si>
  <si>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</si>
  <si>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</si>
  <si>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</si>
  <si>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</si>
  <si>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</si>
  <si>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</si>
  <si>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</si>
  <si>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</si>
  <si>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</si>
  <si>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</si>
  <si>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</si>
  <si>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</si>
  <si>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</si>
  <si>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</si>
  <si>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</si>
  <si>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</si>
  <si>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</si>
  <si>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</si>
  <si>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</si>
  <si>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</si>
  <si>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</si>
  <si>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</si>
  <si>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</si>
  <si>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</si>
  <si>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</si>
  <si>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</si>
  <si>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</si>
  <si>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</si>
  <si>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</si>
  <si>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</si>
  <si>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</si>
  <si>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</si>
  <si>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</si>
  <si>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</si>
  <si>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</si>
  <si>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</si>
  <si>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</si>
  <si>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</si>
  <si>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</si>
  <si>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</si>
  <si>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</si>
  <si>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</si>
  <si>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</si>
  <si>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</si>
  <si>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</si>
  <si>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</si>
  <si>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</si>
  <si>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</si>
  <si>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</si>
  <si>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</si>
  <si>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</si>
  <si>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</si>
  <si>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</si>
  <si>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</si>
  <si>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</si>
  <si>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</si>
  <si>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</si>
  <si>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</si>
  <si>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</si>
  <si>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</si>
  <si>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</si>
  <si>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</si>
  <si>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</si>
  <si>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</si>
  <si>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</si>
  <si>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</si>
  <si>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</si>
  <si>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</si>
  <si>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</si>
  <si>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</si>
  <si>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</si>
  <si>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</si>
  <si>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</si>
  <si>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</si>
  <si>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</si>
  <si>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</si>
  <si>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</si>
  <si>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</si>
  <si>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</si>
  <si>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</si>
  <si>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</si>
  <si>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</si>
  <si>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</si>
  <si>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</si>
  <si>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</si>
  <si>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</si>
  <si>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</si>
  <si>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</si>
  <si>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</si>
  <si>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</si>
  <si>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</si>
  <si>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</si>
  <si>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</si>
  <si>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</si>
  <si>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</si>
  <si>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</si>
  <si>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</si>
  <si>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</si>
  <si>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</si>
  <si>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</si>
  <si>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</si>
  <si>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</si>
  <si>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</si>
  <si>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</si>
  <si>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</si>
  <si>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</si>
  <si>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</si>
  <si>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</si>
  <si>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</si>
  <si>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</si>
  <si>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</si>
  <si>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</si>
  <si>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</si>
  <si>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</si>
  <si>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</si>
  <si>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</si>
  <si>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</si>
  <si>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</si>
  <si>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</si>
  <si>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</si>
  <si>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</si>
  <si>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</si>
  <si>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</si>
  <si>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</si>
  <si>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</si>
  <si>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</si>
  <si>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</si>
  <si>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</si>
  <si>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</si>
  <si>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</si>
  <si>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</si>
  <si>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</si>
  <si>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</si>
  <si>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</si>
  <si>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</si>
  <si>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</si>
  <si>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</si>
  <si>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</si>
  <si>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</si>
  <si>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</si>
  <si>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</si>
  <si>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</si>
  <si>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</si>
  <si>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</si>
  <si>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</si>
  <si>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</si>
  <si>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</si>
  <si>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</si>
  <si>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</si>
  <si>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</si>
  <si>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</si>
  <si>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</si>
  <si>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</si>
  <si>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</si>
  <si>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</si>
  <si>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</si>
  <si>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</si>
  <si>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</si>
  <si>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</si>
  <si>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</si>
  <si>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</si>
  <si>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</si>
  <si>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</si>
  <si>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</si>
  <si>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</si>
  <si>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</si>
  <si>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</si>
  <si>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</si>
  <si>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</si>
  <si>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</si>
  <si>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</si>
  <si>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</si>
  <si>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</si>
  <si>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</si>
  <si>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</si>
  <si>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</si>
  <si>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</si>
  <si>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</si>
  <si>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</si>
  <si>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</si>
  <si>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</si>
  <si>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</si>
  <si>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</si>
  <si>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</si>
  <si>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</si>
  <si>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</si>
  <si>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</si>
  <si>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</si>
  <si>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</si>
  <si>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</si>
  <si>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</si>
  <si>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</si>
  <si>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</si>
  <si>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</si>
  <si>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</si>
  <si>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</si>
  <si>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</si>
  <si>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</si>
  <si>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</si>
  <si>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</si>
  <si>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</si>
  <si>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</si>
  <si>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</si>
  <si>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</si>
  <si>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</si>
  <si>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</si>
  <si>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</si>
  <si>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</si>
  <si>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</si>
  <si>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</si>
  <si>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</si>
  <si>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</si>
  <si>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</si>
  <si>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</si>
  <si>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</si>
  <si>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</si>
  <si>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</si>
  <si>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</si>
  <si>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</si>
  <si>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</si>
  <si>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</si>
  <si>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</si>
  <si>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</si>
  <si>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</si>
  <si>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</si>
  <si>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</si>
  <si>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</si>
  <si>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</si>
  <si>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</si>
  <si>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</si>
  <si>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</si>
  <si>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</si>
  <si>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</si>
  <si>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</si>
  <si>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</si>
  <si>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</si>
  <si>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</si>
  <si>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</si>
  <si>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</si>
  <si>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</si>
  <si>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</si>
  <si>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</si>
  <si>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</si>
  <si>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</si>
  <si>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</si>
  <si>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</si>
  <si>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</si>
  <si>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</si>
  <si>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</si>
  <si>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</si>
  <si>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</si>
  <si>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</si>
  <si>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</si>
  <si>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</si>
  <si>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</si>
  <si>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</si>
  <si>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</si>
  <si>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</si>
  <si>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</si>
  <si>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</si>
  <si>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</si>
  <si>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</si>
  <si>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</si>
  <si>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</si>
  <si>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</si>
  <si>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</si>
  <si>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</si>
  <si>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</si>
  <si>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</si>
  <si>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</si>
  <si>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</si>
  <si>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</si>
  <si>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</si>
  <si>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</si>
  <si>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</si>
  <si>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</si>
  <si>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</si>
  <si>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</si>
  <si>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</si>
  <si>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</si>
  <si>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</si>
  <si>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</si>
  <si>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</si>
  <si>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</si>
  <si>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</si>
  <si>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</si>
  <si>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</si>
  <si>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</si>
  <si>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</si>
  <si>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</si>
  <si>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</si>
  <si>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</si>
  <si>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</si>
  <si>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</si>
  <si>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</si>
  <si>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</si>
  <si>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</si>
  <si>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</si>
  <si>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</si>
  <si>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</si>
  <si>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</si>
  <si>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</si>
  <si>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</si>
  <si>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</si>
  <si>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</si>
  <si>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</si>
  <si>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</si>
  <si>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</si>
  <si>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</si>
  <si>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</si>
  <si>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</si>
  <si>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</si>
  <si>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</si>
  <si>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</si>
  <si>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</si>
  <si>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</si>
  <si>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</si>
  <si>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</si>
  <si>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</si>
  <si>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</si>
  <si>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</si>
  <si>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</si>
  <si>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</si>
  <si>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</si>
  <si>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</si>
  <si>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</si>
  <si>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</si>
  <si>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</si>
  <si>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</si>
  <si>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</si>
  <si>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</si>
  <si>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</si>
  <si>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</si>
  <si>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</si>
  <si>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</si>
  <si>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</si>
  <si>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</si>
  <si>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</si>
  <si>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</si>
  <si>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</si>
  <si>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</si>
  <si>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</si>
  <si>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</si>
  <si>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</si>
  <si>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</si>
  <si>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</si>
  <si>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</si>
  <si>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</si>
  <si>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</si>
  <si>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</si>
  <si>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</si>
  <si>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</si>
  <si>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</si>
  <si>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</si>
  <si>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</si>
  <si>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</si>
  <si>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</si>
  <si>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</si>
  <si>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</si>
  <si>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</si>
  <si>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</si>
  <si>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</si>
  <si>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</si>
  <si>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</si>
  <si>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</si>
  <si>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</si>
  <si>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</si>
  <si>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</si>
  <si>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</si>
  <si>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</si>
  <si>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</si>
  <si>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</si>
  <si>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</si>
  <si>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</si>
  <si>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</si>
  <si>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</si>
  <si>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</si>
  <si>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</si>
  <si>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</si>
  <si>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</si>
  <si>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</si>
  <si>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</si>
  <si>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</si>
  <si>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</si>
  <si>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</si>
  <si>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</si>
  <si>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</si>
  <si>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</si>
  <si>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</si>
  <si>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</si>
  <si>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</si>
  <si>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</si>
  <si>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</si>
  <si>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</si>
  <si>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</si>
  <si>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</si>
  <si>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</si>
  <si>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</si>
  <si>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</si>
  <si>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</si>
  <si>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</si>
  <si>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</si>
  <si>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</si>
  <si>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</si>
  <si>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</si>
  <si>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</si>
  <si>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</si>
  <si>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</si>
  <si>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</si>
  <si>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</si>
  <si>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</si>
  <si>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</si>
  <si>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</si>
  <si>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</si>
  <si>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</si>
  <si>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</si>
  <si>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</si>
  <si>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</si>
  <si>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</si>
  <si>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</si>
  <si>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</si>
  <si>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</si>
  <si>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</si>
  <si>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</si>
  <si>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</si>
  <si>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</si>
  <si>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</si>
  <si>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</si>
  <si>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</si>
  <si>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</si>
  <si>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</si>
  <si>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</si>
  <si>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</si>
  <si>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</si>
  <si>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</si>
  <si>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</si>
  <si>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</si>
  <si>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</si>
  <si>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</si>
  <si>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</si>
  <si>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</si>
  <si>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</si>
  <si>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</si>
  <si>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</si>
  <si>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</si>
  <si>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</si>
  <si>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</si>
  <si>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</si>
  <si>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</si>
  <si>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</si>
  <si>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</si>
  <si>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</si>
  <si>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</si>
  <si>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</si>
  <si>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</si>
  <si>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</si>
  <si>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</si>
  <si>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</si>
  <si>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</si>
  <si>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</si>
  <si>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</si>
  <si>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</si>
  <si>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</si>
  <si>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</si>
  <si>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</si>
  <si>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</si>
  <si>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</si>
  <si>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</si>
  <si>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</si>
  <si>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</si>
  <si>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</si>
  <si>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</si>
  <si>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</si>
  <si>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</si>
  <si>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</si>
  <si>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</si>
  <si>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</si>
  <si>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</si>
  <si>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</si>
  <si>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</si>
  <si>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</si>
  <si>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</si>
  <si>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</si>
  <si>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</si>
  <si>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</si>
  <si>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</si>
  <si>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</si>
  <si>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</si>
  <si>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</si>
  <si>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</si>
  <si>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</si>
  <si>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</si>
  <si>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</si>
  <si>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</si>
  <si>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</si>
  <si>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</si>
  <si>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</si>
  <si>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</si>
  <si>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</si>
  <si>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</si>
  <si>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</si>
  <si>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</si>
  <si>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</si>
  <si>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</si>
  <si>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</si>
  <si>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</si>
  <si>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</si>
  <si>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</si>
  <si>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</si>
  <si>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</si>
  <si>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</si>
  <si>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</si>
  <si>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</si>
  <si>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</si>
  <si>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</si>
  <si>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</si>
  <si>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</si>
  <si>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</si>
  <si>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</si>
  <si>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</si>
  <si>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</si>
  <si>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</si>
  <si>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</si>
  <si>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</si>
  <si>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</si>
  <si>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</si>
  <si>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</si>
  <si>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</si>
  <si>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</si>
  <si>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</si>
  <si>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</si>
  <si>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</si>
  <si>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</si>
  <si>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</si>
  <si>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</si>
  <si>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</si>
  <si>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</si>
  <si>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</si>
  <si>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</si>
  <si>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</si>
  <si>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</si>
  <si>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</si>
  <si>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</si>
  <si>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</si>
  <si>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</si>
  <si>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</si>
  <si>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</si>
  <si>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</si>
  <si>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</si>
  <si>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</si>
  <si>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</si>
  <si>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</si>
  <si>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</si>
  <si>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</si>
  <si>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</si>
  <si>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</si>
  <si>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</si>
  <si>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</si>
  <si>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</si>
  <si>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</si>
  <si>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</si>
  <si>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</si>
  <si>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</si>
  <si>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</si>
  <si>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</si>
  <si>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</si>
  <si>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</si>
  <si>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</si>
  <si>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</si>
  <si>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</si>
  <si>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</si>
  <si>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</si>
  <si>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</si>
  <si>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</si>
  <si>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</si>
  <si>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</si>
  <si>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</si>
  <si>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</si>
  <si>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</si>
  <si>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</si>
  <si>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</si>
  <si>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</si>
  <si>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</si>
  <si>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</si>
  <si>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</si>
  <si>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</si>
  <si>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</si>
  <si>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</si>
  <si>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</si>
  <si>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</si>
  <si>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</si>
  <si>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</si>
  <si>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</si>
  <si>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</si>
  <si>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</si>
  <si>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</si>
  <si>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</si>
  <si>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</si>
  <si>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</si>
  <si>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</si>
  <si>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</si>
  <si>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</si>
  <si>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</si>
  <si>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</si>
  <si>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</si>
  <si>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</si>
  <si>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</si>
  <si>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</si>
  <si>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</si>
  <si>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</si>
  <si>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</si>
  <si>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</si>
  <si>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</si>
  <si>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</si>
  <si>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</si>
  <si>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</si>
  <si>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</si>
  <si>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</si>
  <si>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</si>
  <si>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</si>
  <si>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</si>
  <si>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</si>
  <si>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</si>
  <si>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</si>
  <si>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</si>
  <si>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</si>
  <si>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</si>
  <si>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</si>
  <si>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</si>
  <si>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</si>
  <si>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</si>
  <si>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</si>
  <si>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</si>
  <si>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</si>
  <si>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</si>
  <si>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</si>
  <si>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</si>
  <si>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</si>
  <si>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</si>
  <si>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</si>
  <si>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</si>
  <si>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</si>
  <si>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</si>
  <si>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</si>
  <si>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</si>
  <si>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</si>
  <si>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</si>
  <si>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</si>
  <si>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</si>
  <si>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</si>
  <si>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</si>
  <si>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</si>
  <si>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</si>
  <si>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</si>
  <si>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</si>
  <si>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</si>
  <si>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</si>
  <si>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</si>
  <si>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</si>
  <si>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</si>
  <si>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</si>
  <si>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</si>
  <si>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</si>
  <si>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</si>
  <si>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</si>
  <si>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</si>
  <si>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</si>
  <si>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</si>
  <si>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</si>
  <si>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</si>
  <si>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</si>
  <si>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</si>
  <si>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</si>
  <si>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</si>
  <si>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</si>
  <si>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</si>
  <si>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</si>
  <si>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</si>
  <si>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</si>
  <si>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</si>
  <si>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</si>
  <si>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</si>
  <si>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</si>
  <si>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</si>
  <si>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</si>
  <si>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</si>
  <si>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</si>
  <si>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</si>
  <si>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</si>
  <si>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</si>
  <si>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</si>
  <si>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</si>
  <si>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</si>
  <si>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</si>
  <si>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</si>
  <si>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</si>
  <si>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</si>
  <si>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</si>
  <si>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</si>
  <si>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</si>
  <si>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</si>
  <si>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</si>
  <si>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</si>
  <si>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</si>
  <si>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</si>
  <si>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</si>
  <si>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</si>
  <si>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</si>
  <si>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</si>
  <si>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</si>
  <si>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</si>
  <si>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</si>
  <si>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</si>
  <si>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</si>
  <si>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</si>
  <si>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</si>
  <si>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</si>
  <si>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</si>
  <si>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</si>
  <si>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</si>
  <si>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</si>
  <si>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</si>
  <si>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</si>
  <si>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</si>
  <si>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</si>
  <si>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</si>
  <si>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</si>
  <si>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</si>
  <si>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</si>
  <si>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</si>
  <si>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</si>
  <si>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</si>
  <si>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</si>
  <si>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</si>
  <si>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</si>
  <si>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</si>
  <si>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</si>
  <si>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</si>
  <si>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</si>
  <si>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</si>
  <si>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</si>
  <si>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</si>
  <si>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</si>
  <si>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</si>
  <si>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</si>
  <si>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</si>
  <si>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</si>
  <si>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</si>
  <si>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</si>
  <si>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</si>
  <si>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</si>
  <si>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</si>
  <si>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</si>
  <si>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</si>
  <si>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</si>
  <si>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</si>
  <si>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</si>
  <si>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</si>
  <si>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</si>
  <si>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</si>
  <si>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</si>
  <si>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</si>
  <si>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</si>
  <si>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</si>
  <si>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</si>
  <si>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</si>
  <si>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</si>
  <si>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</si>
  <si>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</si>
  <si>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</si>
  <si>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</si>
  <si>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</si>
  <si>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</si>
  <si>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</si>
  <si>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</si>
  <si>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</si>
  <si>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</si>
  <si>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</si>
  <si>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</si>
  <si>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</si>
  <si>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</si>
  <si>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</si>
  <si>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</si>
  <si>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</si>
  <si>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</si>
  <si>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</si>
  <si>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</si>
  <si>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</si>
  <si>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</si>
  <si>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</si>
  <si>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</si>
  <si>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</si>
  <si>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</si>
  <si>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</si>
  <si>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</si>
  <si>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</si>
  <si>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</si>
  <si>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</si>
  <si>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</si>
  <si>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</si>
  <si>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</si>
  <si>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</si>
  <si>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</si>
  <si>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</si>
  <si>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</si>
  <si>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</si>
  <si>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</si>
  <si>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</si>
  <si>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</si>
  <si>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</si>
  <si>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</si>
  <si>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</si>
  <si>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</si>
  <si>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</si>
  <si>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</si>
  <si>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</si>
  <si>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</si>
  <si>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</si>
  <si>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</si>
  <si>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</si>
  <si>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</si>
  <si>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</si>
  <si>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</si>
  <si>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</si>
  <si>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</si>
  <si>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</si>
  <si>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</si>
  <si>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</si>
  <si>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</si>
  <si>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</si>
  <si>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</si>
  <si>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</si>
  <si>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</si>
  <si>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</si>
  <si>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</si>
  <si>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</si>
  <si>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</si>
  <si>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</si>
  <si>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</si>
  <si>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</si>
  <si>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</si>
  <si>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</si>
  <si>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</si>
  <si>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</si>
  <si>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</si>
  <si>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</si>
  <si>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</si>
  <si>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</si>
  <si>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</si>
  <si>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</si>
  <si>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</si>
  <si>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</si>
  <si>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</si>
  <si>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</si>
  <si>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</si>
  <si>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</si>
  <si>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</si>
  <si>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</si>
  <si>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</si>
  <si>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</si>
  <si>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</si>
  <si>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</si>
  <si>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</si>
  <si>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</si>
  <si>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</si>
  <si>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</si>
  <si>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</si>
  <si>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</si>
  <si>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</si>
  <si>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</si>
  <si>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</si>
  <si>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</si>
  <si>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</si>
  <si>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</si>
  <si>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</si>
  <si>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</si>
  <si>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</si>
  <si>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</si>
  <si>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</si>
  <si>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</si>
  <si>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</si>
  <si>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</si>
  <si>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</si>
  <si>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</si>
  <si>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</si>
  <si>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</si>
  <si>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</si>
  <si>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</si>
  <si>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</si>
  <si>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</si>
  <si>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</si>
  <si>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</si>
  <si>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</si>
  <si>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</si>
  <si>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</si>
  <si>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</si>
  <si>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</si>
  <si>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</si>
  <si>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</si>
  <si>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</si>
  <si>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</si>
  <si>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</si>
  <si>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</si>
  <si>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</si>
  <si>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</si>
  <si>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</si>
  <si>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</si>
  <si>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</si>
  <si>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</si>
  <si>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</si>
  <si>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</si>
  <si>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</si>
  <si>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</si>
  <si>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</si>
  <si>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</si>
  <si>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</si>
  <si>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</si>
  <si>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</si>
  <si>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</si>
  <si>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</si>
  <si>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</si>
  <si>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</si>
  <si>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</si>
  <si>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</si>
  <si>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</si>
  <si>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</si>
  <si>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</si>
  <si>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</si>
  <si>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</si>
  <si>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</si>
  <si>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</si>
  <si>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</si>
  <si>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</si>
  <si>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</si>
  <si>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</si>
  <si>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</si>
  <si>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</si>
  <si>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</si>
  <si>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</si>
  <si>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</si>
  <si>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</si>
  <si>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</si>
  <si>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</si>
  <si>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</si>
  <si>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</si>
  <si>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</si>
  <si>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</si>
  <si>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</si>
  <si>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</si>
  <si>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</si>
  <si>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</si>
  <si>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</si>
  <si>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</si>
  <si>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</si>
  <si>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</si>
  <si>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</si>
  <si>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</si>
  <si>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</si>
  <si>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</si>
  <si>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</si>
  <si>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</si>
  <si>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</si>
  <si>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</si>
  <si>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</si>
  <si>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</si>
  <si>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</si>
  <si>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</si>
  <si>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</si>
  <si>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</si>
  <si>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</si>
  <si>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</si>
  <si>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</si>
  <si>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</si>
  <si>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</si>
  <si>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</si>
  <si>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</si>
  <si>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</si>
  <si>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</si>
  <si>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</si>
  <si>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</si>
  <si>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</si>
  <si>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</si>
  <si>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</si>
  <si>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</si>
  <si>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</si>
  <si>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</si>
  <si>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</si>
  <si>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</si>
  <si>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</si>
  <si>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</si>
  <si>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</si>
  <si>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</si>
  <si>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</si>
  <si>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</si>
  <si>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</si>
  <si>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</si>
  <si>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</si>
  <si>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</si>
  <si>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</si>
  <si>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</si>
  <si>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</si>
  <si>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</si>
  <si>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</si>
  <si>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</si>
  <si>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</si>
  <si>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</si>
  <si>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</si>
  <si>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</si>
  <si>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</si>
  <si>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</si>
  <si>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</si>
  <si>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</si>
  <si>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</si>
  <si>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</si>
  <si>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</si>
  <si>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</si>
  <si>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</si>
  <si>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</si>
  <si>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</si>
  <si>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</si>
  <si>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</si>
  <si>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</si>
  <si>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</si>
  <si>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</si>
  <si>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</si>
  <si>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</si>
  <si>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</si>
  <si>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</si>
  <si>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</si>
  <si>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</si>
  <si>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</si>
  <si>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</si>
  <si>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</si>
  <si>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</si>
  <si>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</si>
  <si>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</si>
  <si>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</si>
  <si>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</si>
  <si>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</si>
  <si>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</si>
  <si>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</si>
  <si>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</si>
  <si>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</si>
  <si>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</si>
  <si>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</si>
  <si>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</si>
  <si>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</si>
  <si>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</si>
  <si>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</si>
  <si>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</si>
  <si>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</si>
  <si>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</si>
  <si>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</si>
  <si>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</si>
  <si>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</si>
  <si>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</si>
  <si>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</si>
  <si>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</si>
  <si>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</si>
  <si>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</si>
  <si>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</si>
  <si>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</si>
  <si>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</si>
  <si>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</si>
  <si>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</si>
  <si>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</si>
  <si>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</si>
  <si>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</si>
  <si>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</si>
  <si>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</si>
  <si>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</si>
  <si>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</si>
  <si>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</si>
  <si>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</si>
  <si>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</si>
  <si>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</si>
  <si>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</si>
  <si>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</si>
  <si>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</si>
  <si>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</si>
  <si>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</si>
  <si>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</si>
  <si>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</si>
  <si>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</si>
  <si>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</si>
  <si>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</si>
  <si>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</si>
  <si>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</si>
  <si>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</si>
  <si>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</si>
  <si>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</si>
  <si>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</si>
  <si>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</si>
  <si>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</si>
  <si>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</si>
  <si>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</si>
  <si>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</si>
  <si>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</si>
  <si>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</si>
  <si>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</si>
  <si>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</si>
  <si>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</si>
  <si>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</si>
  <si>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</si>
  <si>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</si>
  <si>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</si>
  <si>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</si>
  <si>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</si>
  <si>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</si>
  <si>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</si>
  <si>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</si>
  <si>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</si>
  <si>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</si>
  <si>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</si>
  <si>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</si>
  <si>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</si>
  <si>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</si>
  <si>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</si>
  <si>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</si>
  <si>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</si>
  <si>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</si>
  <si>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</si>
  <si>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</si>
  <si>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</si>
  <si>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</si>
  <si>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</si>
  <si>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</si>
  <si>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</si>
  <si>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</si>
  <si>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</si>
  <si>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</si>
  <si>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</si>
  <si>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</si>
  <si>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</si>
  <si>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</si>
  <si>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</si>
  <si>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</si>
  <si>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</si>
  <si>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</si>
  <si>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</si>
  <si>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</si>
  <si>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</si>
  <si>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</si>
  <si>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</si>
  <si>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</si>
  <si>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</si>
  <si>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</si>
  <si>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</si>
  <si>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</si>
  <si>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</si>
  <si>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</si>
  <si>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</si>
  <si>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</si>
  <si>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</si>
  <si>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</si>
  <si>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</si>
  <si>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</si>
  <si>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</si>
  <si>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</si>
  <si>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</si>
  <si>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</si>
  <si>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</si>
  <si>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</si>
  <si>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</si>
  <si>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</si>
  <si>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</si>
  <si>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</si>
  <si>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</si>
  <si>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</si>
  <si>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</si>
  <si>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</si>
  <si>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</si>
  <si>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</si>
  <si>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</si>
  <si>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</si>
  <si>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</si>
  <si>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</si>
  <si>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</si>
  <si>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</si>
  <si>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</si>
  <si>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</si>
  <si>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</si>
  <si>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</si>
  <si>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</si>
  <si>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</si>
  <si>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</si>
  <si>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</si>
  <si>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</si>
  <si>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</si>
  <si>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</si>
  <si>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</si>
  <si>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</si>
  <si>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</si>
  <si>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</si>
  <si>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</si>
  <si>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</si>
  <si>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</si>
  <si>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</si>
  <si>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</si>
  <si>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</si>
  <si>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</si>
  <si>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</si>
  <si>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</si>
  <si>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</si>
  <si>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</si>
  <si>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</si>
  <si>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</si>
  <si>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</si>
  <si>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</si>
  <si>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</si>
  <si>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</si>
  <si>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</si>
  <si>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</si>
  <si>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</si>
  <si>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</si>
  <si>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</si>
  <si>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</si>
  <si>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</si>
  <si>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</si>
  <si>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</si>
  <si>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</si>
  <si>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</si>
  <si>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</si>
  <si>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</si>
  <si>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</si>
  <si>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</si>
  <si>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</si>
  <si>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</si>
  <si>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</si>
  <si>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</si>
  <si>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</si>
  <si>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</si>
  <si>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</si>
  <si>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</si>
  <si>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</si>
  <si>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</si>
  <si>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</si>
  <si>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</si>
  <si>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</si>
  <si>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</si>
  <si>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</si>
  <si>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</si>
  <si>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</si>
  <si>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</si>
  <si>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</si>
  <si>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</si>
  <si>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</si>
  <si>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</si>
  <si>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</si>
  <si>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</si>
  <si>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</si>
  <si>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</si>
  <si>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</si>
  <si>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</si>
  <si>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</si>
  <si>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</si>
  <si>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</si>
  <si>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</si>
  <si>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</si>
  <si>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</si>
  <si>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</si>
  <si>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</si>
  <si>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</si>
  <si>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</si>
  <si>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</si>
  <si>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</si>
  <si>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</si>
  <si>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</si>
  <si>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</si>
  <si>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</si>
  <si>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</si>
  <si>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</si>
  <si>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</si>
  <si>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</si>
  <si>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</si>
  <si>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</si>
  <si>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</si>
  <si>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</si>
  <si>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</si>
  <si>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</si>
  <si>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</si>
  <si>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</si>
  <si>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</si>
  <si>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</si>
  <si>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</si>
  <si>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</si>
  <si>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</si>
  <si>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</si>
  <si>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</si>
  <si>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</si>
  <si>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</si>
  <si>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</si>
  <si>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</si>
  <si>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</si>
  <si>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</si>
  <si>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</si>
  <si>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</si>
  <si>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</si>
  <si>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</si>
  <si>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</si>
  <si>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</si>
  <si>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</si>
  <si>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</si>
  <si>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</si>
  <si>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</si>
  <si>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</si>
  <si>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</si>
  <si>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</si>
  <si>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</si>
  <si>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</si>
  <si>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</si>
  <si>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</si>
  <si>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</si>
  <si>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</si>
  <si>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</si>
  <si>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</si>
  <si>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</si>
  <si>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</si>
  <si>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</si>
  <si>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</si>
  <si>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</si>
  <si>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</si>
  <si>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</si>
  <si>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</si>
  <si>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</si>
  <si>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</si>
  <si>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</si>
  <si>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</si>
  <si>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</si>
  <si>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</si>
  <si>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</si>
  <si>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</si>
  <si>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</si>
  <si>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</si>
  <si>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</si>
  <si>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</si>
  <si>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</si>
  <si>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</si>
  <si>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</si>
  <si>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</si>
  <si>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</si>
  <si>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</si>
  <si>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</si>
  <si>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</si>
  <si>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</si>
  <si>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</si>
  <si>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</si>
  <si>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</si>
  <si>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</si>
  <si>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</si>
  <si>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</si>
  <si>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</si>
  <si>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</si>
  <si>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</si>
  <si>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</si>
  <si>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</si>
  <si>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</si>
  <si>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</si>
  <si>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</si>
  <si>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</si>
  <si>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</si>
  <si>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</si>
  <si>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</si>
  <si>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</si>
  <si>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</si>
  <si>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</si>
  <si>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</si>
  <si>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</si>
  <si>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</si>
  <si>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</si>
  <si>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</si>
  <si>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</si>
  <si>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</si>
  <si>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</si>
  <si>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</si>
  <si>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</si>
  <si>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</si>
  <si>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</si>
  <si>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</si>
  <si>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</si>
  <si>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</si>
  <si>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</si>
  <si>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</si>
  <si>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</si>
  <si>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</si>
  <si>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</si>
  <si>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</si>
  <si>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</si>
  <si>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</si>
  <si>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</si>
  <si>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</si>
  <si>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</si>
  <si>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</si>
  <si>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</si>
  <si>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</si>
  <si>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</si>
  <si>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</si>
  <si>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</si>
  <si>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</si>
  <si>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</si>
  <si>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</si>
  <si>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</si>
  <si>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</si>
  <si>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</si>
  <si>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</si>
  <si>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</si>
  <si>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</si>
  <si>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</si>
  <si>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</si>
  <si>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</si>
  <si>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</si>
  <si>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</si>
  <si>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</si>
  <si>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</si>
  <si>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</si>
  <si>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</si>
  <si>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</si>
  <si>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</si>
  <si>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</si>
  <si>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</si>
  <si>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</si>
  <si>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</si>
  <si>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</si>
  <si>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</si>
  <si>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</si>
  <si>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</si>
  <si>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</si>
  <si>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</si>
  <si>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</si>
  <si>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</si>
  <si>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</si>
  <si>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</si>
  <si>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</si>
  <si>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</si>
  <si>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</si>
  <si>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</si>
  <si>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</si>
  <si>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</si>
  <si>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</si>
  <si>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</si>
  <si>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</si>
  <si>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</si>
  <si>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</si>
  <si>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</si>
  <si>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</si>
  <si>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</si>
  <si>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</si>
  <si>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</si>
  <si>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</si>
  <si>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</si>
  <si>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</si>
  <si>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</si>
  <si>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</si>
  <si>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</si>
  <si>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</si>
  <si>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</si>
  <si>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</si>
  <si>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</si>
  <si>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</si>
  <si>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</si>
  <si>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</si>
  <si>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</si>
  <si>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</si>
  <si>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</si>
  <si>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</si>
  <si>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</si>
  <si>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</si>
  <si>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</si>
  <si>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</si>
  <si>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</si>
  <si>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</si>
  <si>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</si>
  <si>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</si>
  <si>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</si>
  <si>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</si>
  <si>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</si>
  <si>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</si>
  <si>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</si>
  <si>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</si>
  <si>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</si>
  <si>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</si>
  <si>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</si>
  <si>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</si>
  <si>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</si>
  <si>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</si>
  <si>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</si>
  <si>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</si>
  <si>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</si>
  <si>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</si>
  <si>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</si>
  <si>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</si>
  <si>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</si>
  <si>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</si>
  <si>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</si>
  <si>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</si>
  <si>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</si>
  <si>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</si>
  <si>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</si>
  <si>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</si>
  <si>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</si>
  <si>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</si>
  <si>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</si>
  <si>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</si>
  <si>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</si>
  <si>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</si>
  <si>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</si>
  <si>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</si>
  <si>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</si>
  <si>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</si>
  <si>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</si>
  <si>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</si>
  <si>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</si>
  <si>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</si>
  <si>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</si>
  <si>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</si>
  <si>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</si>
  <si>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</si>
  <si>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</si>
  <si>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</si>
  <si>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</si>
  <si>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</si>
  <si>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</si>
  <si>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</si>
  <si>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</si>
  <si>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</si>
  <si>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</si>
  <si>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</si>
  <si>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</si>
  <si>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</si>
  <si>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</si>
  <si>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</si>
  <si>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</si>
  <si>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</si>
  <si>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</si>
  <si>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</si>
  <si>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</si>
  <si>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</si>
  <si>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</si>
  <si>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</si>
  <si>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</si>
  <si>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</si>
  <si>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</si>
  <si>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</si>
  <si>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</si>
  <si>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</si>
  <si>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</si>
  <si>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</si>
  <si>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</si>
  <si>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</si>
  <si>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</si>
  <si>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</si>
  <si>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</si>
  <si>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</si>
  <si>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</si>
  <si>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</si>
  <si>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</si>
  <si>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</si>
  <si>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</si>
  <si>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</si>
  <si>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</si>
  <si>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</si>
  <si>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</si>
  <si>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</si>
  <si>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</si>
  <si>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</si>
  <si>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</si>
  <si>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</si>
  <si>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</si>
  <si>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</si>
  <si>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</si>
  <si>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</si>
  <si>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</si>
  <si>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</si>
  <si>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</si>
  <si>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</si>
  <si>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</si>
  <si>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</si>
  <si>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</si>
  <si>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</si>
  <si>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</si>
  <si>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</si>
  <si>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</si>
  <si>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</si>
  <si>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</si>
  <si>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</si>
  <si>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</si>
  <si>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</si>
  <si>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</si>
  <si>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</si>
  <si>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</si>
  <si>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</si>
  <si>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</si>
  <si>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</si>
  <si>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</si>
  <si>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</si>
  <si>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</si>
  <si>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</si>
  <si>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</si>
  <si>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</si>
  <si>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</si>
  <si>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</si>
  <si>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</si>
  <si>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</si>
  <si>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</si>
  <si>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</si>
  <si>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</si>
  <si>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</si>
  <si>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</si>
  <si>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</si>
  <si>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</si>
  <si>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</si>
  <si>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</si>
  <si>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</si>
  <si>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</si>
  <si>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</si>
  <si>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</si>
  <si>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</si>
  <si>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</si>
  <si>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</si>
  <si>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</si>
  <si>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</si>
  <si>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</si>
  <si>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</si>
  <si>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</si>
  <si>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</si>
  <si>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</si>
  <si>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</si>
  <si>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</si>
  <si>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</si>
  <si>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</si>
  <si>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</si>
  <si>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</si>
  <si>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</si>
  <si>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</si>
  <si>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</si>
  <si>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</si>
  <si>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</si>
  <si>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</si>
  <si>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</si>
  <si>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</si>
  <si>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</si>
  <si>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</si>
  <si>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</si>
  <si>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</si>
  <si>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</si>
  <si>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</si>
  <si>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</si>
  <si>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</si>
  <si>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</si>
  <si>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</si>
  <si>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</si>
  <si>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</si>
  <si>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</si>
  <si>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</si>
  <si>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</si>
  <si>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</si>
  <si>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</si>
  <si>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</si>
  <si>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</si>
  <si>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</si>
  <si>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</si>
  <si>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</si>
  <si>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</si>
  <si>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</si>
  <si>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</si>
  <si>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</si>
  <si>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</si>
  <si>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</si>
  <si>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</si>
  <si>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</si>
  <si>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</si>
  <si>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</si>
  <si>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</si>
  <si>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</si>
  <si>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</si>
  <si>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</si>
  <si>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</si>
  <si>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</si>
  <si>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</si>
  <si>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</si>
  <si>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</si>
  <si>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</si>
  <si>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</si>
  <si>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</si>
  <si>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</si>
  <si>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</si>
  <si>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</si>
  <si>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</si>
  <si>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</si>
  <si>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</si>
  <si>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</si>
  <si>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</si>
  <si>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</si>
  <si>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</si>
  <si>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</si>
  <si>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</si>
  <si>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</si>
  <si>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</si>
  <si>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</si>
  <si>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</si>
  <si>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</si>
  <si>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</si>
  <si>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</si>
  <si>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</si>
  <si>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</si>
  <si>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</si>
  <si>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</si>
  <si>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</si>
  <si>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</si>
  <si>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</si>
  <si>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</si>
  <si>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</si>
  <si>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</si>
  <si>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</si>
  <si>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</si>
  <si>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</si>
  <si>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</si>
  <si>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</si>
  <si>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</si>
  <si>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</si>
  <si>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</si>
  <si>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</si>
  <si>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</si>
  <si>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</si>
  <si>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</si>
  <si>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</si>
  <si>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</si>
  <si>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</si>
  <si>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</si>
  <si>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</si>
  <si>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</si>
  <si>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</si>
  <si>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</si>
  <si>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</si>
  <si>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</si>
  <si>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</si>
  <si>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</si>
  <si>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</si>
  <si>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</si>
  <si>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</si>
  <si>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</si>
  <si>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</si>
  <si>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</si>
  <si>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</si>
  <si>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</si>
  <si>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</si>
  <si>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</si>
  <si>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</si>
  <si>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</si>
  <si>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</si>
  <si>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</si>
  <si>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</si>
  <si>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</si>
  <si>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</si>
  <si>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</si>
  <si>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</si>
  <si>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</si>
  <si>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</si>
  <si>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</si>
  <si>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</si>
  <si>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</si>
  <si>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</si>
  <si>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</si>
  <si>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</si>
  <si>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</si>
  <si>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</si>
  <si>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</si>
  <si>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</si>
  <si>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</si>
  <si>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</si>
  <si>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</si>
  <si>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</si>
  <si>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</si>
  <si>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</si>
  <si>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</si>
  <si>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</si>
  <si>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</si>
  <si>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</si>
  <si>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</si>
  <si>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</si>
  <si>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</si>
  <si>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</si>
  <si>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</si>
  <si>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</si>
  <si>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</si>
  <si>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</si>
  <si>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</si>
  <si>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</si>
  <si>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</si>
  <si>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</si>
  <si>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</si>
  <si>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</si>
  <si>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</si>
  <si>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</si>
  <si>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</si>
  <si>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</si>
  <si>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</si>
  <si>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</si>
  <si>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</si>
  <si>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</si>
  <si>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</si>
  <si>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</si>
  <si>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</si>
  <si>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</si>
  <si>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</si>
  <si>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</si>
  <si>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</si>
  <si>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</si>
  <si>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</si>
  <si>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</si>
  <si>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</si>
  <si>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</si>
  <si>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</si>
  <si>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</si>
  <si>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</si>
  <si>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</si>
  <si>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</si>
  <si>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</si>
  <si>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</si>
  <si>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</si>
  <si>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</si>
  <si>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</si>
  <si>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</si>
  <si>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</si>
  <si>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</si>
  <si>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</si>
  <si>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</si>
  <si>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</si>
  <si>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</si>
  <si>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</si>
  <si>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</si>
  <si>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</si>
  <si>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</si>
  <si>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</si>
  <si>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</si>
  <si>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</si>
  <si>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</si>
  <si>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</si>
  <si>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</si>
  <si>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</si>
  <si>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</si>
  <si>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</si>
  <si>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</si>
  <si>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</si>
  <si>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</si>
  <si>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</si>
  <si>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</si>
  <si>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</si>
  <si>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</si>
  <si>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</si>
  <si>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</si>
  <si>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</si>
  <si>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</si>
  <si>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</si>
  <si>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</si>
  <si>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</si>
  <si>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</si>
  <si>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</si>
  <si>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</si>
  <si>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</si>
  <si>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</si>
  <si>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</si>
  <si>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</si>
  <si>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</si>
  <si>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</si>
  <si>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</si>
  <si>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</si>
  <si>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</si>
  <si>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</si>
  <si>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</si>
  <si>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</si>
  <si>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</si>
  <si>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</si>
  <si>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</si>
  <si>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</si>
  <si>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</si>
  <si>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</si>
  <si>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</si>
  <si>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</si>
  <si>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</si>
  <si>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</si>
  <si>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</si>
  <si>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</si>
  <si>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</si>
  <si>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</si>
  <si>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</si>
  <si>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</si>
  <si>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</si>
  <si>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</si>
  <si>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</si>
  <si>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</si>
  <si>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</si>
  <si>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</si>
  <si>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</si>
  <si>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</si>
  <si>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</si>
  <si>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</si>
  <si>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</si>
  <si>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</si>
  <si>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</si>
  <si>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</si>
  <si>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</si>
  <si>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</si>
  <si>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</si>
  <si>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</si>
  <si>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</si>
  <si>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</si>
  <si>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</si>
  <si>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</si>
  <si>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</si>
  <si>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</si>
  <si>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</si>
  <si>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</si>
  <si>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</si>
  <si>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</si>
  <si>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</si>
  <si>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</si>
  <si>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</si>
  <si>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</si>
  <si>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</si>
  <si>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</si>
  <si>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</si>
  <si>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</si>
  <si>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</si>
  <si>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</si>
  <si>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</si>
  <si>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</si>
  <si>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</si>
  <si>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</si>
  <si>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</si>
  <si>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</si>
  <si>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</si>
  <si>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</si>
  <si>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</si>
  <si>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</si>
  <si>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</si>
  <si>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</si>
  <si>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</si>
  <si>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</si>
  <si>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</si>
  <si>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</si>
  <si>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</si>
  <si>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</si>
  <si>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</si>
  <si>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</si>
  <si>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</si>
  <si>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</si>
  <si>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</si>
  <si>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</si>
  <si>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</si>
  <si>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</si>
  <si>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</si>
  <si>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</si>
  <si>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</si>
  <si>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</si>
  <si>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</si>
  <si>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</si>
  <si>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</si>
  <si>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</si>
  <si>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</si>
  <si>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</si>
  <si>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</si>
  <si>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</si>
  <si>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</si>
  <si>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</si>
  <si>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</si>
  <si>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</si>
  <si>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</si>
  <si>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</si>
  <si>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</si>
  <si>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</si>
  <si>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</si>
  <si>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</si>
  <si>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</si>
  <si>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</si>
  <si>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</si>
  <si>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</si>
  <si>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</si>
  <si>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</si>
  <si>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</si>
  <si>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</si>
  <si>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</si>
  <si>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</si>
  <si>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</si>
  <si>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</si>
  <si>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</si>
  <si>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</si>
  <si>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</si>
  <si>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</si>
  <si>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</si>
  <si>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</si>
  <si>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</si>
  <si>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</si>
  <si>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</si>
  <si>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</si>
  <si>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</si>
  <si>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</si>
  <si>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</si>
  <si>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</si>
  <si>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</si>
  <si>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</si>
  <si>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</si>
  <si>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</si>
  <si>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</si>
  <si>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</si>
  <si>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</si>
  <si>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</si>
  <si>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</si>
  <si>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</si>
  <si>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</si>
  <si>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</si>
  <si>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</si>
  <si>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</si>
  <si>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</si>
  <si>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</si>
  <si>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</si>
  <si>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</si>
  <si>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</si>
  <si>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</si>
  <si>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</si>
  <si>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</si>
  <si>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</si>
  <si>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</si>
  <si>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</si>
  <si>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</si>
  <si>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</si>
  <si>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</si>
  <si>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</si>
  <si>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</si>
  <si>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</si>
  <si>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</si>
  <si>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</si>
  <si>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</si>
  <si>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</si>
  <si>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</si>
  <si>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</si>
  <si>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</si>
  <si>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</si>
  <si>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</si>
  <si>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</si>
  <si>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</si>
  <si>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</si>
  <si>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</si>
  <si>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</si>
  <si>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</si>
  <si>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</si>
  <si>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</si>
  <si>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</si>
  <si>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</si>
  <si>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</si>
  <si>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</si>
  <si>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</si>
  <si>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</si>
  <si>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</si>
  <si>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</si>
  <si>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</si>
  <si>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</si>
  <si>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</si>
  <si>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</si>
  <si>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</si>
  <si>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</si>
  <si>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</si>
  <si>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</si>
  <si>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</si>
  <si>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</si>
  <si>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</si>
  <si>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</si>
  <si>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</si>
  <si>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</si>
  <si>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</si>
  <si>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</si>
  <si>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</si>
  <si>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</si>
  <si>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</si>
  <si>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</si>
  <si>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</si>
  <si>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</si>
  <si>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</si>
  <si>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</si>
  <si>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</si>
  <si>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</si>
  <si>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</si>
  <si>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</si>
  <si>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</si>
  <si>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</si>
  <si>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</si>
  <si>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</si>
  <si>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</si>
  <si>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</si>
  <si>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</si>
  <si>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</si>
  <si>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</si>
  <si>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</si>
  <si>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</si>
  <si>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</si>
  <si>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</si>
  <si>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</si>
  <si>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</si>
  <si>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</si>
  <si>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</si>
  <si>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</si>
  <si>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</si>
  <si>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</si>
  <si>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</si>
  <si>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</si>
  <si>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</si>
  <si>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</si>
  <si>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</si>
  <si>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</si>
  <si>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</si>
  <si>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</si>
  <si>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</si>
  <si>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</si>
  <si>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</si>
  <si>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</si>
  <si>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</si>
  <si>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</si>
  <si>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</si>
  <si>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</si>
  <si>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</si>
  <si>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</si>
  <si>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</si>
  <si>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</si>
  <si>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</si>
  <si>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</si>
  <si>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</si>
  <si>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</si>
  <si>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</si>
  <si>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</si>
  <si>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</si>
  <si>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</si>
  <si>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</si>
  <si>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</si>
  <si>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</si>
  <si>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</si>
  <si>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</si>
  <si>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</si>
  <si>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</si>
  <si>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</si>
  <si>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</si>
  <si>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</si>
  <si>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</si>
  <si>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</si>
  <si>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</si>
  <si>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</si>
  <si>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</si>
  <si>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</si>
  <si>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</si>
  <si>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</si>
  <si>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</si>
  <si>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</si>
  <si>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</si>
  <si>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</si>
  <si>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</si>
  <si>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</si>
  <si>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</si>
  <si>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</si>
  <si>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</si>
  <si>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</si>
  <si>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</si>
  <si>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</si>
  <si>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</si>
  <si>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</si>
  <si>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</si>
  <si>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</si>
  <si>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</si>
  <si>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</si>
  <si>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</si>
  <si>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</si>
  <si>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</si>
  <si>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</si>
  <si>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</si>
  <si>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</si>
  <si>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</si>
  <si>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</si>
  <si>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</si>
  <si>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</si>
  <si>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</si>
  <si>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</si>
  <si>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</si>
  <si>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</si>
  <si>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</si>
  <si>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</si>
  <si>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</si>
  <si>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</si>
  <si>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</si>
  <si>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</si>
  <si>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</si>
  <si>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</si>
  <si>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</si>
  <si>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</si>
  <si>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</si>
  <si>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</si>
  <si>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</si>
  <si>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</si>
  <si>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</si>
  <si>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</si>
  <si>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</si>
  <si>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</si>
  <si>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</si>
  <si>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</si>
  <si>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</si>
  <si>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</si>
  <si>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</si>
  <si>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</si>
  <si>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</si>
  <si>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</si>
  <si>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</si>
  <si>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</si>
  <si>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</si>
  <si>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</si>
  <si>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</si>
  <si>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</si>
  <si>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</si>
  <si>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</si>
  <si>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</si>
  <si>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</si>
  <si>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</si>
  <si>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</si>
  <si>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</si>
  <si>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</si>
  <si>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</si>
  <si>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</si>
  <si>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</si>
  <si>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</si>
  <si>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</si>
  <si>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</si>
  <si>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</si>
  <si>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</si>
  <si>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</si>
  <si>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</si>
  <si>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</si>
  <si>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</si>
  <si>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</si>
  <si>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</si>
  <si>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</si>
  <si>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</si>
  <si>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</si>
  <si>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</si>
  <si>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</si>
  <si>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</si>
  <si>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</si>
  <si>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</si>
  <si>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</si>
  <si>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</si>
  <si>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</si>
  <si>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</si>
  <si>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</si>
  <si>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</si>
  <si>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</si>
  <si>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</si>
  <si>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</si>
  <si>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</si>
  <si>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</si>
  <si>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</si>
  <si>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</si>
  <si>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</si>
  <si>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</si>
  <si>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</si>
  <si>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</si>
  <si>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</si>
  <si>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</si>
  <si>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</si>
  <si>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</si>
  <si>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</si>
  <si>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</si>
  <si>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</si>
  <si>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</si>
  <si>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</si>
  <si>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</si>
  <si>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</si>
  <si>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</si>
  <si>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</si>
  <si>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</si>
  <si>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</si>
  <si>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</si>
  <si>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</si>
  <si>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</si>
  <si>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</si>
  <si>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</si>
  <si>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</si>
  <si>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</si>
  <si>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</si>
  <si>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</si>
  <si>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</si>
  <si>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</si>
  <si>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</si>
  <si>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</si>
  <si>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</si>
  <si>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</si>
  <si>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</si>
  <si>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</si>
  <si>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</si>
  <si>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</si>
  <si>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</si>
  <si>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</si>
  <si>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</si>
  <si>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</si>
  <si>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</si>
  <si>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</si>
  <si>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</si>
  <si>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</si>
  <si>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</si>
  <si>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</si>
  <si>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</si>
  <si>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</si>
  <si>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</si>
  <si>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</si>
  <si>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</si>
  <si>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</si>
  <si>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</si>
  <si>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</si>
  <si>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</si>
  <si>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</si>
  <si>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</si>
  <si>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</si>
  <si>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</si>
  <si>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</si>
  <si>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</si>
  <si>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</si>
  <si>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</si>
  <si>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</si>
  <si>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</si>
  <si>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</si>
  <si>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</si>
  <si>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</si>
  <si>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</si>
  <si>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</si>
  <si>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</si>
  <si>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</si>
  <si>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</si>
  <si>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</si>
  <si>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</si>
  <si>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</si>
  <si>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</si>
  <si>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</si>
  <si>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</si>
  <si>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</si>
  <si>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</si>
  <si>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</si>
  <si>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</si>
  <si>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</si>
  <si>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</si>
  <si>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</si>
  <si>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</si>
  <si>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</si>
  <si>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</si>
  <si>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</si>
  <si>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</si>
  <si>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</si>
  <si>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</si>
  <si>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</si>
  <si>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</si>
  <si>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</si>
  <si>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</si>
  <si>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</si>
  <si>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</si>
  <si>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</si>
  <si>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</si>
  <si>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</si>
  <si>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</si>
  <si>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</si>
  <si>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</si>
  <si>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</si>
  <si>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</si>
  <si>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</si>
  <si>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</si>
  <si>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</si>
  <si>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</si>
  <si>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</si>
  <si>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</si>
  <si>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</si>
  <si>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</si>
  <si>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</si>
  <si>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</si>
  <si>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</si>
  <si>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</si>
  <si>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</si>
  <si>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</si>
  <si>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</si>
  <si>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</si>
  <si>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</si>
  <si>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</si>
  <si>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</si>
  <si>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</si>
  <si>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</si>
  <si>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</si>
  <si>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</si>
  <si>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</si>
  <si>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</si>
  <si>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</si>
  <si>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</si>
  <si>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</si>
  <si>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</si>
  <si>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</si>
  <si>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</si>
  <si>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</si>
  <si>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</si>
  <si>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</si>
  <si>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</si>
  <si>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</si>
  <si>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</si>
  <si>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</si>
  <si>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</si>
  <si>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</si>
  <si>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</si>
  <si>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</si>
  <si>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</si>
  <si>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</si>
  <si>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</si>
  <si>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</si>
  <si>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</si>
  <si>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</si>
  <si>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</si>
  <si>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</si>
  <si>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</si>
  <si>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</si>
  <si>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</si>
  <si>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</si>
  <si>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</si>
  <si>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</si>
  <si>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</si>
  <si>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</si>
  <si>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</si>
  <si>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</si>
  <si>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</si>
  <si>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</si>
  <si>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</si>
  <si>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</si>
  <si>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</si>
  <si>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</si>
  <si>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</si>
  <si>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</si>
  <si>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</si>
  <si>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</si>
  <si>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</si>
  <si>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</si>
  <si>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</si>
  <si>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</si>
  <si>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</si>
  <si>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</si>
  <si>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</si>
  <si>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</si>
  <si>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</si>
  <si>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</si>
  <si>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</si>
  <si>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</si>
  <si>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</si>
  <si>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</si>
  <si>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</si>
  <si>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</si>
  <si>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</si>
  <si>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</si>
  <si>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</si>
  <si>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</si>
  <si>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</si>
  <si>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</si>
  <si>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</si>
  <si>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</si>
  <si>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</si>
  <si>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</si>
  <si>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</si>
  <si>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</si>
  <si>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</si>
  <si>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</si>
  <si>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</si>
  <si>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</si>
  <si>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</si>
  <si>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</si>
  <si>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</si>
  <si>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</si>
  <si>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</si>
  <si>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</si>
  <si>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</si>
  <si>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</si>
  <si>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</si>
  <si>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</si>
  <si>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</si>
  <si>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</si>
  <si>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</si>
  <si>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</si>
  <si>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</si>
  <si>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</si>
  <si>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</si>
  <si>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</si>
  <si>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</si>
  <si>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</si>
  <si>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</si>
  <si>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</si>
  <si>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</si>
  <si>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</si>
  <si>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</si>
  <si>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</si>
  <si>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</si>
  <si>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</si>
  <si>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</si>
  <si>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</si>
  <si>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</si>
  <si>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</si>
  <si>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</si>
  <si>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</si>
  <si>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</si>
  <si>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</si>
  <si>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</si>
  <si>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</si>
  <si>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</si>
  <si>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</si>
  <si>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</si>
  <si>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</si>
  <si>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</si>
  <si>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</si>
  <si>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</si>
  <si>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</si>
  <si>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</si>
  <si>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</si>
  <si>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</si>
  <si>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</si>
  <si>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</si>
  <si>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</si>
  <si>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</si>
  <si>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</si>
  <si>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</si>
  <si>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</si>
  <si>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</si>
  <si>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</si>
  <si>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</si>
  <si>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</si>
  <si>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</si>
  <si>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</si>
  <si>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</si>
  <si>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</si>
  <si>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</si>
  <si>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</si>
  <si>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</si>
  <si>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</si>
  <si>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</si>
  <si>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</si>
  <si>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</si>
  <si>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</si>
  <si>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</si>
  <si>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</si>
  <si>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</si>
  <si>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</si>
  <si>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</si>
  <si>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</si>
  <si>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</si>
  <si>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</si>
  <si>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</si>
  <si>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</si>
  <si>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</si>
  <si>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</si>
  <si>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</si>
  <si>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</si>
  <si>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</si>
  <si>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</si>
  <si>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</si>
  <si>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</si>
  <si>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</si>
  <si>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</si>
  <si>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</si>
  <si>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</si>
  <si>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</si>
  <si>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</si>
  <si>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</si>
  <si>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</si>
  <si>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</si>
  <si>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</si>
  <si>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</si>
  <si>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</si>
  <si>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</si>
  <si>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</si>
  <si>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</si>
  <si>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</si>
  <si>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</si>
  <si>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</si>
  <si>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</si>
  <si>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</si>
  <si>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</si>
  <si>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</si>
  <si>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</si>
  <si>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</si>
  <si>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</si>
  <si>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</si>
  <si>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</si>
  <si>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</si>
  <si>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</si>
  <si>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</si>
  <si>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</si>
  <si>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</si>
  <si>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</si>
  <si>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</si>
  <si>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</si>
  <si>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</si>
  <si>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</si>
  <si>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</si>
  <si>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</si>
  <si>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</si>
  <si>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</si>
  <si>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</si>
  <si>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</si>
  <si>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</si>
  <si>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</si>
  <si>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</si>
  <si>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</si>
  <si>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</si>
  <si>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</si>
  <si>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</si>
  <si>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</si>
  <si>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</si>
  <si>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</si>
  <si>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</si>
  <si>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</si>
  <si>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</si>
  <si>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</si>
  <si>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</si>
  <si>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</si>
  <si>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</si>
  <si>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</si>
  <si>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</si>
  <si>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</si>
  <si>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</si>
  <si>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</si>
  <si>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</si>
  <si>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</si>
  <si>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</si>
  <si>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</si>
  <si>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</si>
  <si>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</si>
  <si>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</si>
  <si>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</si>
  <si>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</si>
  <si>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</si>
  <si>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</si>
  <si>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</si>
  <si>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</si>
  <si>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</si>
  <si>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</si>
  <si>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</si>
  <si>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</si>
  <si>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</si>
  <si>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</si>
  <si>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</si>
  <si>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</si>
  <si>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</si>
  <si>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</si>
  <si>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</si>
  <si>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</si>
  <si>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</si>
  <si>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</si>
  <si>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</si>
  <si>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</si>
  <si>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</si>
  <si>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</si>
  <si>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</si>
  <si>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</si>
  <si>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</si>
  <si>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</si>
  <si>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</si>
  <si>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</si>
  <si>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</si>
  <si>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</si>
  <si>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</si>
  <si>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</si>
  <si>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</si>
  <si>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</si>
  <si>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</si>
  <si>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</si>
  <si>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</si>
  <si>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</si>
  <si>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</si>
  <si>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</si>
  <si>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</si>
  <si>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</si>
  <si>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</si>
  <si>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</si>
  <si>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</si>
  <si>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</si>
  <si>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</si>
  <si>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</si>
  <si>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</si>
  <si>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</si>
  <si>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</si>
  <si>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</si>
  <si>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</si>
  <si>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</si>
  <si>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</si>
  <si>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</si>
  <si>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</si>
  <si>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</si>
  <si>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</si>
  <si>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</si>
  <si>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</si>
  <si>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</si>
  <si>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Sylvie Dal Degan</t>
  </si>
  <si>
    <t xml:space="preserve">Sasse</t>
  </si>
  <si>
    <t xml:space="preserve">Chateaufort</t>
  </si>
  <si>
    <t xml:space="preserve">06153630</t>
  </si>
  <si>
    <t xml:space="preserve">RCS PACA</t>
  </si>
  <si>
    <t xml:space="preserve">Robustesse:</t>
  </si>
  <si>
    <t xml:space="preserve">radier</t>
  </si>
  <si>
    <t xml:space="preserve">moyen</t>
  </si>
  <si>
    <t xml:space="preserve">(moyen)</t>
  </si>
  <si>
    <t xml:space="preserve">périphyton</t>
  </si>
  <si>
    <t xml:space="preserve"> rec. par taxa (0,02 %) supérieur à 20 % !</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</si>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</sst>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29" borderId="58" xfId="0" applyFont="true" applyBorder="true" applyAlignment="true" applyProtection="true">
      <alignment horizontal="left" vertical="top" textRotation="0" wrapText="false" indent="0" shrinkToFit="false"/>
      <protection locked="true" hidden="true"/>
    </xf>
    <xf numFmtId="172" fontId="37" fillId="29" borderId="58" xfId="0" applyFont="true" applyBorder="true" applyAlignment="true" applyProtection="true">
      <alignment horizontal="center" vertical="top" textRotation="0" wrapText="false" indent="0" shrinkToFit="false"/>
      <protection locked="true" hidden="true"/>
    </xf>
    <xf numFmtId="164" fontId="116"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17" fillId="29" borderId="71" xfId="0" applyFont="true" applyBorder="true" applyAlignment="true" applyProtection="true">
      <alignment horizontal="center" vertical="top" textRotation="0" wrapText="false" indent="0" shrinkToFit="false"/>
      <protection locked="true" hidden="true"/>
    </xf>
    <xf numFmtId="164" fontId="116"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2"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3"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41095</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11.5</v>
      </c>
      <c r="M5" s="543"/>
      <c r="N5" s="544"/>
      <c r="O5" s="545" t="n">
        <v>10.75</v>
      </c>
      <c r="P5" s="330"/>
      <c r="Q5" s="284"/>
      <c r="R5" s="284"/>
      <c r="S5" s="284"/>
      <c r="T5" s="284"/>
      <c r="U5" s="284"/>
      <c r="V5" s="284"/>
      <c r="W5" s="296"/>
      <c r="X5" s="316"/>
    </row>
    <row r="6" customFormat="false" ht="13.5" hidden="false" customHeight="false" outlineLevel="0" collapsed="false">
      <c r="A6" s="317" t="s">
        <v>2641</v>
      </c>
      <c r="B6" s="331" t="s">
        <v>2714</v>
      </c>
      <c r="C6" s="331"/>
      <c r="D6" s="320"/>
      <c r="E6" s="320"/>
      <c r="F6" s="332"/>
      <c r="G6" s="322"/>
      <c r="H6" s="320"/>
      <c r="I6" s="333" t="s">
        <v>2642</v>
      </c>
      <c r="J6" s="334"/>
      <c r="K6" s="335"/>
      <c r="L6" s="546" t="s">
        <v>2715</v>
      </c>
      <c r="M6" s="547"/>
      <c r="N6" s="548" t="s">
        <v>2716</v>
      </c>
      <c r="O6" s="548"/>
      <c r="P6" s="339"/>
      <c r="Q6" s="284"/>
      <c r="R6" s="284"/>
      <c r="S6" s="284"/>
      <c r="T6" s="284"/>
      <c r="U6" s="284"/>
      <c r="V6" s="284"/>
      <c r="W6" s="296"/>
      <c r="X6" s="297"/>
    </row>
    <row r="7" customFormat="false" ht="12.75" hidden="false" customHeight="false" outlineLevel="0" collapsed="false">
      <c r="A7" s="340" t="s">
        <v>2643</v>
      </c>
      <c r="B7" s="341" t="n">
        <v>100</v>
      </c>
      <c r="C7" s="342"/>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7.5</v>
      </c>
      <c r="O8" s="358" t="n">
        <f aca="false">AVERAGE(J23:J82)</f>
        <v>1.5</v>
      </c>
      <c r="P8" s="359"/>
      <c r="Q8" s="284"/>
      <c r="R8" s="284"/>
      <c r="S8" s="284"/>
      <c r="T8" s="284"/>
      <c r="U8" s="284"/>
      <c r="V8" s="284"/>
      <c r="W8" s="296"/>
      <c r="X8" s="297"/>
    </row>
    <row r="9" customFormat="false" ht="13.5" hidden="false" customHeight="false" outlineLevel="0" collapsed="false">
      <c r="A9" s="317" t="s">
        <v>2649</v>
      </c>
      <c r="B9" s="360" t="n">
        <v>0.02</v>
      </c>
      <c r="C9" s="361"/>
      <c r="D9" s="362"/>
      <c r="E9" s="362"/>
      <c r="F9" s="363" t="n">
        <f aca="false">($B9*$B$7+$C9*$C$7)/100</f>
        <v>0.02</v>
      </c>
      <c r="G9" s="364"/>
      <c r="H9" s="365"/>
      <c r="I9" s="366"/>
      <c r="J9" s="367"/>
      <c r="K9" s="348"/>
      <c r="L9" s="368"/>
      <c r="M9" s="357" t="s">
        <v>2650</v>
      </c>
      <c r="N9" s="358" t="n">
        <f aca="false">STDEV(I23:I82)</f>
        <v>6.557438524302</v>
      </c>
      <c r="O9" s="358" t="n">
        <f aca="false">STDEV(J23:J82)</f>
        <v>1.29099444873581</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3</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4</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4</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1</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1</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0.02</v>
      </c>
      <c r="C20" s="440" t="n">
        <f aca="false">SUM(C23:C82)</f>
        <v>0</v>
      </c>
      <c r="D20" s="441"/>
      <c r="E20" s="442" t="s">
        <v>2673</v>
      </c>
      <c r="F20" s="443" t="n">
        <f aca="false">($B20*$B$7+$C20*$C$7)/100</f>
        <v>0.02</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0.02</v>
      </c>
      <c r="C21" s="453" t="n">
        <f aca="false">C20*C7/100</f>
        <v>0</v>
      </c>
      <c r="D21" s="385" t="str">
        <f aca="false">IF(F21=0,"",IF((ABS(F21-F19))&gt;(0.2*F21),CONCATENATE(" rec. par taxa (",F21," %) supérieur à 20 % !"),""))</f>
        <v> rec. par taxa (0,02 %) supérieur à 20 % !</v>
      </c>
      <c r="E21" s="454" t="str">
        <f aca="false">IF(F21=0,"",IF((ABS(F21-F19))&gt;(0.2*F21),CONCATENATE("ATTENTION : écart entre rec. par grp (",F19," %) ","et",""),""))</f>
        <v>ATTENTION : écart entre rec. par grp (0 %) et</v>
      </c>
      <c r="F21" s="455" t="n">
        <f aca="false">B21+C21</f>
        <v>0.02</v>
      </c>
      <c r="G21" s="456"/>
      <c r="H21" s="385"/>
      <c r="I21" s="457"/>
      <c r="J21" s="457"/>
      <c r="K21" s="458"/>
      <c r="L21" s="458"/>
      <c r="M21" s="459"/>
      <c r="N21" s="459"/>
      <c r="O21" s="460"/>
      <c r="P21" s="461"/>
      <c r="Q21" s="462" t="s">
        <v>2678</v>
      </c>
      <c r="R21" s="284"/>
      <c r="S21" s="284"/>
      <c r="T21" s="284"/>
      <c r="U21" s="284"/>
      <c r="V21" s="284" t="s">
        <v>2718</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181</v>
      </c>
      <c r="B23" s="499" t="n">
        <v>0.005</v>
      </c>
      <c r="C23" s="500"/>
      <c r="D23" s="501" t="str">
        <f aca="false">IF(ISERROR(VLOOKUP($A23,'liste reference'!$A$7:$D$904,2,0)),IF(ISERROR(VLOOKUP($A23,'liste reference'!$B$7:$D$904,1,0)),"",VLOOKUP($A23,'liste reference'!$B$7:$D$904,1,0)),VLOOKUP($A23,'liste reference'!$A$7:$D$904,2,0))</f>
        <v>Mougeotia sp.</v>
      </c>
      <c r="E23" s="501" t="e">
        <f aca="false">IF(D23="",0,VLOOKUP(D23,D$22:D22,1,0))</f>
        <v>#N/A</v>
      </c>
      <c r="F23" s="508" t="n">
        <f aca="false">($B23*$B$7+$C23*$C$7)/100</f>
        <v>0.005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Mougeotia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1146</v>
      </c>
      <c r="Q23" s="491" t="n">
        <f aca="false">IF(ISTEXT(H23),"",(B23*$B$7/100)+(C23*$C$7/100))</f>
        <v>0.005</v>
      </c>
      <c r="R23" s="492" t="n">
        <f aca="false">IF(OR(ISTEXT(H23),Q23=0),"",IF(Q23&lt;0.1,1,IF(Q23&lt;1,2,IF(Q23&lt;10,3,IF(Q23&lt;50,4,IF(Q23&gt;=50,5,""))))))</f>
        <v>1</v>
      </c>
      <c r="S23" s="492" t="n">
        <f aca="false">IF(ISERROR(R23*I23),0,R23*I23)</f>
        <v>13</v>
      </c>
      <c r="T23" s="492" t="n">
        <f aca="false">IF(ISERROR(R23*I23*J23),0,R23*I23*J23)</f>
        <v>26</v>
      </c>
      <c r="U23" s="492" t="n">
        <f aca="false">IF(ISERROR(R23*J23),0,R23*J23)</f>
        <v>2</v>
      </c>
      <c r="V23" s="493" t="n">
        <v>2</v>
      </c>
      <c r="W23" s="507"/>
      <c r="Y23" s="495" t="str">
        <f aca="false">IF(A23="new.cod","NEWCOD",IF(AND((Z23=""),ISTEXT(A23)),A23,IF(Z23="","",INDEX('liste reference'!$A$7:$A$904,Z23))))</f>
        <v>MOUSPX</v>
      </c>
      <c r="Z23" s="284" t="n">
        <f aca="false">IF(ISERROR(MATCH(A23,'liste reference'!$A$7:$A$904,0)),IF(ISERROR(MATCH(A23,'liste reference'!$B$7:$B$904,0)),"",(MATCH(A23,'liste reference'!$B$7:$B$904,0))),(MATCH(A23,'liste reference'!$A$7:$A$904,0)))</f>
        <v>44</v>
      </c>
      <c r="AA23" s="496"/>
      <c r="AB23" s="497"/>
      <c r="AC23" s="497"/>
      <c r="BC23" s="284" t="n">
        <f aca="false">IF(A23="","",1)</f>
        <v>1</v>
      </c>
    </row>
    <row r="24" customFormat="false" ht="12.75" hidden="false" customHeight="false" outlineLevel="0" collapsed="false">
      <c r="A24" s="498" t="s">
        <v>302</v>
      </c>
      <c r="B24" s="499" t="n">
        <v>0.005</v>
      </c>
      <c r="C24" s="500"/>
      <c r="D24" s="501" t="str">
        <f aca="false">IF(ISERROR(VLOOKUP($A24,'liste reference'!$A$7:$D$904,2,0)),IF(ISERROR(VLOOKUP($A24,'liste reference'!$B$7:$D$904,1,0)),"",VLOOKUP($A24,'liste reference'!$B$7:$D$904,1,0)),VLOOKUP($A24,'liste reference'!$A$7:$D$904,2,0))</f>
        <v>Vaucheria sp.</v>
      </c>
      <c r="E24" s="501" t="e">
        <f aca="false">IF(D24="",0,VLOOKUP(D24,D$22:D23,1,0))</f>
        <v>#N/A</v>
      </c>
      <c r="F24" s="508" t="n">
        <f aca="false">($B24*$B$7+$C24*$C$7)/100</f>
        <v>0.005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4</v>
      </c>
      <c r="J24" s="486" t="n">
        <f aca="false">IF(ISNUMBER(H24),IF(ISERROR(VLOOKUP($A24,'liste reference'!$A$7:$P$904,4,0)),IF(ISERROR(VLOOKUP($A24,'liste reference'!$B$7:$P$904,3,0)),"",VLOOKUP($A24,'liste reference'!$B$7:$P$904,3,0)),VLOOKUP($A24,'liste reference'!$A$7:$P$904,4,0)),"")</f>
        <v>1</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Vaucheria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6193</v>
      </c>
      <c r="Q24" s="491" t="n">
        <f aca="false">IF(ISTEXT(H24),"",(B24*$B$7/100)+(C24*$C$7/100))</f>
        <v>0.005</v>
      </c>
      <c r="R24" s="492" t="n">
        <f aca="false">IF(OR(ISTEXT(H24),Q24=0),"",IF(Q24&lt;0.1,1,IF(Q24&lt;1,2,IF(Q24&lt;10,3,IF(Q24&lt;50,4,IF(Q24&gt;=50,5,""))))))</f>
        <v>1</v>
      </c>
      <c r="S24" s="492" t="n">
        <f aca="false">IF(ISERROR(R24*I24),0,R24*I24)</f>
        <v>4</v>
      </c>
      <c r="T24" s="492" t="n">
        <f aca="false">IF(ISERROR(R24*I24*J24),0,R24*I24*J24)</f>
        <v>4</v>
      </c>
      <c r="U24" s="506" t="n">
        <f aca="false">IF(ISERROR(R24*J24),0,R24*J24)</f>
        <v>1</v>
      </c>
      <c r="V24" s="493" t="n">
        <v>1</v>
      </c>
      <c r="W24" s="494"/>
      <c r="Y24" s="495" t="str">
        <f aca="false">IF(A24="new.cod","NEWCOD",IF(AND((Z24=""),ISTEXT(A24)),A24,IF(Z24="","",INDEX('liste reference'!$A$7:$A$904,Z24))))</f>
        <v>VAUSPX</v>
      </c>
      <c r="Z24" s="284" t="n">
        <f aca="false">IF(ISERROR(MATCH(A24,'liste reference'!$A$7:$A$904,0)),IF(ISERROR(MATCH(A24,'liste reference'!$B$7:$B$904,0)),"",(MATCH(A24,'liste reference'!$B$7:$B$904,0))),(MATCH(A24,'liste reference'!$A$7:$A$904,0)))</f>
        <v>83</v>
      </c>
      <c r="AA24" s="496"/>
      <c r="AB24" s="497"/>
      <c r="AC24" s="497"/>
      <c r="BC24" s="284" t="n">
        <f aca="false">IF(A24="","",1)</f>
        <v>1</v>
      </c>
    </row>
    <row r="25" customFormat="false" ht="12.75" hidden="false" customHeight="false" outlineLevel="0" collapsed="false">
      <c r="A25" s="498" t="s">
        <v>305</v>
      </c>
      <c r="B25" s="499" t="n">
        <v>0.005</v>
      </c>
      <c r="C25" s="500"/>
      <c r="D25" s="501" t="str">
        <f aca="false">IF(ISERROR(VLOOKUP($A25,'liste reference'!$A$7:$D$904,2,0)),IF(ISERROR(VLOOKUP($A25,'liste reference'!$B$7:$D$904,1,0)),"",VLOOKUP($A25,'liste reference'!$B$7:$D$904,1,0)),VLOOKUP($A25,'liste reference'!$A$7:$D$904,2,0))</f>
        <v>Zygnema sp.</v>
      </c>
      <c r="E25" s="501" t="e">
        <f aca="false">IF(D25="",0,VLOOKUP(D25,D$22:D24,1,0))</f>
        <v>#N/A</v>
      </c>
      <c r="F25" s="508" t="n">
        <f aca="false">($B25*$B$7+$C25*$C$7)/100</f>
        <v>0.005</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13</v>
      </c>
      <c r="J25" s="486" t="n">
        <f aca="false">IF(ISNUMBER(H25),IF(ISERROR(VLOOKUP($A25,'liste reference'!$A$7:$P$904,4,0)),IF(ISERROR(VLOOKUP($A25,'liste reference'!$B$7:$P$904,3,0)),"",VLOOKUP($A25,'liste reference'!$B$7:$P$904,3,0)),VLOOKUP($A25,'liste reference'!$A$7:$P$904,4,0)),"")</f>
        <v>3</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Zygnema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1148</v>
      </c>
      <c r="Q25" s="491" t="n">
        <f aca="false">IF(ISTEXT(H25),"",(B25*$B$7/100)+(C25*$C$7/100))</f>
        <v>0.005</v>
      </c>
      <c r="R25" s="492" t="n">
        <f aca="false">IF(OR(ISTEXT(H25),Q25=0),"",IF(Q25&lt;0.1,1,IF(Q25&lt;1,2,IF(Q25&lt;10,3,IF(Q25&lt;50,4,IF(Q25&gt;=50,5,""))))))</f>
        <v>1</v>
      </c>
      <c r="S25" s="492" t="n">
        <f aca="false">IF(ISERROR(R25*I25),0,R25*I25)</f>
        <v>13</v>
      </c>
      <c r="T25" s="492" t="n">
        <f aca="false">IF(ISERROR(R25*I25*J25),0,R25*I25*J25)</f>
        <v>39</v>
      </c>
      <c r="U25" s="506" t="n">
        <f aca="false">IF(ISERROR(R25*J25),0,R25*J25)</f>
        <v>3</v>
      </c>
      <c r="V25" s="493" t="n">
        <v>3</v>
      </c>
      <c r="W25" s="494"/>
      <c r="X25" s="494"/>
      <c r="Y25" s="495" t="str">
        <f aca="false">IF(A25="new.cod","NEWCOD",IF(AND((Z25=""),ISTEXT(A25)),A25,IF(Z25="","",INDEX('liste reference'!$A$7:$A$904,Z25))))</f>
        <v>ZYGSPX</v>
      </c>
      <c r="Z25" s="284" t="n">
        <f aca="false">IF(ISERROR(MATCH(A25,'liste reference'!$A$7:$A$904,0)),IF(ISERROR(MATCH(A25,'liste reference'!$B$7:$B$904,0)),"",(MATCH(A25,'liste reference'!$B$7:$B$904,0))),(MATCH(A25,'liste reference'!$A$7:$A$904,0)))</f>
        <v>84</v>
      </c>
      <c r="AA25" s="496"/>
      <c r="AB25" s="497"/>
      <c r="AC25" s="497"/>
      <c r="BC25" s="284" t="n">
        <f aca="false">IF(A25="","",1)</f>
        <v>1</v>
      </c>
    </row>
    <row r="26" customFormat="false" ht="12.75" hidden="false" customHeight="false" outlineLevel="0" collapsed="false">
      <c r="A26" s="498" t="s">
        <v>1157</v>
      </c>
      <c r="B26" s="499" t="n">
        <v>0.005</v>
      </c>
      <c r="C26" s="500"/>
      <c r="D26" s="501" t="str">
        <f aca="false">IF(ISERROR(VLOOKUP($A26,'liste reference'!$A$7:$D$904,2,0)),IF(ISERROR(VLOOKUP($A26,'liste reference'!$B$7:$D$904,1,0)),"",VLOOKUP($A26,'liste reference'!$B$7:$D$904,1,0)),VLOOKUP($A26,'liste reference'!$A$7:$D$904,2,0))</f>
        <v>Equisetum arvense</v>
      </c>
      <c r="E26" s="501" t="e">
        <f aca="false">IF(D26="",0,VLOOKUP(D26,D$22:D25,1,0))</f>
        <v>#N/A</v>
      </c>
      <c r="F26" s="508" t="n">
        <f aca="false">($B26*$B$7+$C26*$C$7)/100</f>
        <v>0.005</v>
      </c>
      <c r="G26" s="503" t="str">
        <f aca="false">IF(A26="","",IF(ISERROR(VLOOKUP($A26,'liste reference'!$A$7:$P$904,13,0)),IF(ISERROR(VLOOKUP($A26,'liste reference'!$B$7:$P$904,12,0)),"    -",VLOOKUP($A26,'liste reference'!$B$7:$P$904,12,0)),VLOOKUP($A26,'liste reference'!$A$7:$P$904,13,0)))</f>
        <v>PTE</v>
      </c>
      <c r="H26" s="484" t="n">
        <f aca="false">IF(A26="","x",IF(ISERROR(VLOOKUP($A26,'liste reference'!$A$7:$P$904,14,0)),IF(ISERROR(VLOOKUP($A26,'liste reference'!$B$7:$P$904,13,0)),"x",VLOOKUP($A26,'liste reference'!$B$7:$P$904,13,0)),VLOOKUP($A26,'liste reference'!$A$7:$P$904,14,0)))</f>
        <v>6</v>
      </c>
      <c r="I26" s="504" t="n">
        <f aca="false">IF(ISNUMBER(H26),IF(ISERROR(VLOOKUP($A26,'liste reference'!$A$7:$P$904,3,0)),IF(ISERROR(VLOOKUP($A26,'liste reference'!$B$7:$P$904,2,0)),"",VLOOKUP($A26,'liste reference'!$B$7:$P$904,2,0)),VLOOKUP($A26,'liste reference'!$A$7:$P$904,3,0)),"")</f>
        <v>0</v>
      </c>
      <c r="J26" s="486" t="n">
        <f aca="false">IF(ISNUMBER(H26),IF(ISERROR(VLOOKUP($A26,'liste reference'!$A$7:$P$904,4,0)),IF(ISERROR(VLOOKUP($A26,'liste reference'!$B$7:$P$904,3,0)),"",VLOOKUP($A26,'liste reference'!$B$7:$P$904,3,0)),VLOOKUP($A26,'liste reference'!$A$7:$P$904,4,0)),"")</f>
        <v>0</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Equisetum arvense</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1384</v>
      </c>
      <c r="Q26" s="491" t="n">
        <f aca="false">IF(ISTEXT(H26),"",(B26*$B$7/100)+(C26*$C$7/100))</f>
        <v>0.005</v>
      </c>
      <c r="R26" s="492" t="n">
        <f aca="false">IF(OR(ISTEXT(H26),Q26=0),"",IF(Q26&lt;0.1,1,IF(Q26&lt;1,2,IF(Q26&lt;10,3,IF(Q26&lt;50,4,IF(Q26&gt;=50,5,""))))))</f>
        <v>1</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EQUARV</v>
      </c>
      <c r="Z26" s="284" t="n">
        <f aca="false">IF(ISERROR(MATCH(A26,'liste reference'!$A$7:$A$904,0)),IF(ISERROR(MATCH(A26,'liste reference'!$B$7:$B$904,0)),"",(MATCH(A26,'liste reference'!$B$7:$B$904,0))),(MATCH(A26,'liste reference'!$A$7:$A$904,0)))</f>
        <v>279</v>
      </c>
      <c r="AA26" s="496"/>
      <c r="AB26" s="497"/>
      <c r="AC26" s="497"/>
      <c r="BC26" s="284" t="n">
        <f aca="false">IF(A26="","",1)</f>
        <v>1</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IF(D45="",0,VLOOKUP(D45,D$22:D38,1,0))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IF(D46="",0,VLOOKUP(D46,D$22:D38,1,0))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IF(D56="",0,VLOOKUP(D56,D$21:D55,1,0))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X56" s="509"/>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10"/>
      <c r="M58" s="510"/>
      <c r="N58" s="510"/>
      <c r="O58" s="511"/>
      <c r="P58" s="512"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X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Sasse</v>
      </c>
      <c r="B84" s="531" t="str">
        <f aca="false">C3</f>
        <v>Chateaufort</v>
      </c>
      <c r="C84" s="532" t="n">
        <f aca="false">A4</f>
        <v>41095</v>
      </c>
      <c r="D84" s="533" t="n">
        <f aca="false">IF(ISERROR(SUM($T$23:$T$82)/SUM($U$23:$U$82)),"",SUM($T$23:$T$82)/SUM($U$23:$U$82))</f>
        <v>11.5</v>
      </c>
      <c r="E84" s="534" t="n">
        <f aca="false">N13</f>
        <v>4</v>
      </c>
      <c r="F84" s="531" t="n">
        <f aca="false">N14</f>
        <v>4</v>
      </c>
      <c r="G84" s="531" t="n">
        <f aca="false">N15</f>
        <v>1</v>
      </c>
      <c r="H84" s="531" t="n">
        <f aca="false">N16</f>
        <v>1</v>
      </c>
      <c r="I84" s="531" t="n">
        <f aca="false">N17</f>
        <v>1</v>
      </c>
      <c r="J84" s="535" t="n">
        <f aca="false">N8</f>
        <v>7.5</v>
      </c>
      <c r="K84" s="533" t="n">
        <f aca="false">N9</f>
        <v>6.557438524302</v>
      </c>
      <c r="L84" s="534" t="n">
        <f aca="false">N10</f>
        <v>0</v>
      </c>
      <c r="M84" s="534" t="n">
        <f aca="false">N11</f>
        <v>13</v>
      </c>
      <c r="N84" s="533" t="n">
        <f aca="false">O8</f>
        <v>1.5</v>
      </c>
      <c r="O84" s="533" t="n">
        <f aca="false">O9</f>
        <v>1.29099444873581</v>
      </c>
      <c r="P84" s="534"/>
      <c r="Q84" s="534" t="n">
        <f aca="false">O10</f>
        <v>0</v>
      </c>
      <c r="R84" s="534" t="n">
        <f aca="false">O11</f>
        <v>3</v>
      </c>
      <c r="S84" s="536" t="n">
        <f aca="false">F21</f>
        <v>0.02</v>
      </c>
      <c r="T84" s="534" t="n">
        <f aca="false">K11</f>
        <v>0</v>
      </c>
      <c r="U84" s="534" t="n">
        <f aca="false">K12</f>
        <v>3</v>
      </c>
      <c r="V84" s="534" t="n">
        <f aca="false">K13</f>
        <v>0</v>
      </c>
      <c r="W84" s="537" t="n">
        <f aca="false">K14</f>
        <v>1</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13</v>
      </c>
      <c r="T87" s="284"/>
      <c r="U87" s="284"/>
      <c r="V87" s="284"/>
    </row>
    <row r="88" customFormat="false" ht="12.75" hidden="true" customHeight="false" outlineLevel="0" collapsed="false">
      <c r="P88" s="284"/>
      <c r="Q88" s="284" t="s">
        <v>2700</v>
      </c>
      <c r="R88" s="284"/>
      <c r="S88" s="493" t="n">
        <f aca="false">VLOOKUP((S87),($S$23:$U$82),2,0)</f>
        <v>26</v>
      </c>
      <c r="T88" s="284"/>
      <c r="U88" s="284"/>
      <c r="V88" s="284"/>
    </row>
    <row r="89" customFormat="false" ht="12.75" hidden="false" customHeight="false" outlineLevel="0" collapsed="false">
      <c r="Q89" s="284" t="s">
        <v>2701</v>
      </c>
      <c r="R89" s="284"/>
      <c r="S89" s="493" t="n">
        <f aca="false">VLOOKUP((S87),($S$23:$U$82),3,0)</f>
        <v>2</v>
      </c>
      <c r="T89" s="284"/>
    </row>
    <row r="90" customFormat="false" ht="12.75" hidden="false" customHeight="false" outlineLevel="0" collapsed="false">
      <c r="Q90" s="284" t="s">
        <v>2702</v>
      </c>
      <c r="R90" s="284"/>
      <c r="S90" s="541" t="n">
        <f aca="false">IF(ISERROR(SUM($T$23:$T$82)/SUM($U$23:$U$82)),"",(SUM($T$23:$T$82)-S88)/(SUM($U$23:$U$82)-S89))</f>
        <v>10.75</v>
      </c>
      <c r="T90" s="284"/>
    </row>
    <row r="91" customFormat="false" ht="12.75" hidden="false" customHeight="false" outlineLevel="0" collapsed="false">
      <c r="Q91" s="492" t="s">
        <v>2703</v>
      </c>
      <c r="R91" s="492"/>
      <c r="S91" s="492" t="str">
        <f aca="false">INDEX('liste reference'!$A$7:$A$904,$T$91)</f>
        <v>MOUSPX</v>
      </c>
      <c r="T91" s="284" t="n">
        <f aca="false">IF(ISERROR(MATCH($S$93,'liste reference'!$A$7:$A$904,0)),MATCH($S$93,'liste reference'!$B$7:$B$904,0),(MATCH($S$93,'liste reference'!$A$7:$A$904,0)))</f>
        <v>44</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str">
        <f aca="false">INDEX($A$23:$A$82,$S$92)</f>
        <v>MOUSPX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2717</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2719</v>
      </c>
      <c r="B1" s="552"/>
      <c r="C1" s="552"/>
      <c r="D1" s="552"/>
    </row>
    <row r="2" customFormat="false" ht="15" hidden="false" customHeight="false" outlineLevel="0" collapsed="false">
      <c r="A2" s="553" t="s">
        <v>2720</v>
      </c>
      <c r="B2" s="554"/>
      <c r="C2" s="555"/>
      <c r="D2" s="555"/>
    </row>
    <row r="3" customFormat="false" ht="15.75" hidden="false" customHeight="false" outlineLevel="0" collapsed="false">
      <c r="A3" s="553" t="s">
        <v>2721</v>
      </c>
      <c r="B3" s="554"/>
      <c r="C3" s="555"/>
      <c r="D3" s="556" t="s">
        <v>2722</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2723</v>
      </c>
      <c r="G15" s="574"/>
      <c r="H15" s="575" t="s">
        <v>2724</v>
      </c>
      <c r="I15" s="574"/>
    </row>
    <row r="16" customFormat="false" ht="12.75" hidden="false" customHeight="false" outlineLevel="0" collapsed="false">
      <c r="A16" s="570" t="s">
        <v>1722</v>
      </c>
      <c r="B16" s="569" t="s">
        <v>1723</v>
      </c>
      <c r="C16" s="571"/>
      <c r="D16" s="572"/>
      <c r="F16" s="576" t="s">
        <v>2725</v>
      </c>
      <c r="G16" s="577"/>
      <c r="H16" s="576" t="s">
        <v>2725</v>
      </c>
      <c r="I16" s="578"/>
    </row>
    <row r="17" customFormat="false" ht="12.75" hidden="false" customHeight="false" outlineLevel="0" collapsed="false">
      <c r="A17" s="568" t="s">
        <v>2141</v>
      </c>
      <c r="B17" s="569" t="s">
        <v>2142</v>
      </c>
      <c r="C17" s="571"/>
      <c r="D17" s="572"/>
      <c r="F17" s="579" t="s">
        <v>2726</v>
      </c>
      <c r="G17" s="580"/>
      <c r="H17" s="579" t="s">
        <v>2726</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2727</v>
      </c>
      <c r="G19" s="580"/>
      <c r="H19" s="579" t="s">
        <v>2727</v>
      </c>
      <c r="I19" s="581"/>
    </row>
    <row r="20" customFormat="false" ht="12.75" hidden="false" customHeight="false" outlineLevel="0" collapsed="false">
      <c r="A20" s="570" t="s">
        <v>1728</v>
      </c>
      <c r="B20" s="569" t="s">
        <v>1729</v>
      </c>
      <c r="C20" s="571"/>
      <c r="D20" s="572"/>
      <c r="F20" s="579" t="s">
        <v>2728</v>
      </c>
      <c r="G20" s="580"/>
      <c r="H20" s="579" t="s">
        <v>2728</v>
      </c>
      <c r="I20" s="581"/>
    </row>
    <row r="21" customFormat="false" ht="12.75" hidden="false" customHeight="false" outlineLevel="0" collapsed="false">
      <c r="A21" s="570" t="s">
        <v>1734</v>
      </c>
      <c r="B21" s="569" t="s">
        <v>1735</v>
      </c>
      <c r="C21" s="571"/>
      <c r="D21" s="572"/>
      <c r="F21" s="579" t="s">
        <v>2729</v>
      </c>
      <c r="G21" s="580"/>
      <c r="H21" s="579" t="s">
        <v>2729</v>
      </c>
      <c r="I21" s="581"/>
    </row>
    <row r="22" customFormat="false" ht="12.75" hidden="false" customHeight="false" outlineLevel="0" collapsed="false">
      <c r="A22" s="568" t="s">
        <v>1740</v>
      </c>
      <c r="B22" s="569" t="s">
        <v>1741</v>
      </c>
      <c r="C22" s="571"/>
      <c r="D22" s="572"/>
      <c r="F22" s="579" t="s">
        <v>2730</v>
      </c>
      <c r="G22" s="580"/>
      <c r="H22" s="579" t="s">
        <v>2730</v>
      </c>
      <c r="I22" s="581"/>
    </row>
    <row r="23" customFormat="false" ht="12.75" hidden="false" customHeight="false" outlineLevel="0" collapsed="false">
      <c r="A23" s="568" t="s">
        <v>2479</v>
      </c>
      <c r="B23" s="569" t="s">
        <v>2480</v>
      </c>
      <c r="C23" s="571"/>
      <c r="D23" s="572"/>
      <c r="F23" s="579" t="s">
        <v>2731</v>
      </c>
      <c r="G23" s="580"/>
      <c r="H23" s="579" t="s">
        <v>2731</v>
      </c>
      <c r="I23" s="581"/>
    </row>
    <row r="24" customFormat="false" ht="12.75" hidden="false" customHeight="false" outlineLevel="0" collapsed="false">
      <c r="A24" s="568" t="s">
        <v>2144</v>
      </c>
      <c r="B24" s="569" t="s">
        <v>2145</v>
      </c>
      <c r="C24" s="571"/>
      <c r="D24" s="572"/>
      <c r="F24" s="579" t="s">
        <v>2732</v>
      </c>
      <c r="G24" s="580"/>
      <c r="H24" s="579" t="s">
        <v>2732</v>
      </c>
      <c r="I24" s="581"/>
    </row>
    <row r="25" customFormat="false" ht="12.75" hidden="false" customHeight="false" outlineLevel="0" collapsed="false">
      <c r="A25" s="568" t="s">
        <v>2147</v>
      </c>
      <c r="B25" s="569" t="s">
        <v>2148</v>
      </c>
      <c r="C25" s="571"/>
      <c r="D25" s="572"/>
      <c r="F25" s="582" t="s">
        <v>2733</v>
      </c>
      <c r="G25" s="583"/>
      <c r="H25" s="582" t="s">
        <v>2733</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2734</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2012-09-26T12:08:33Z</dcterms:modified>
  <cp:revision>0</cp:revision>
  <dc:subject/>
  <dc:title>Feuille d'aide au calcul de l'IBMR</dc:title>
</cp:coreProperties>
</file>