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9000" sheetId="6" state="visible" r:id="rId8"/>
    <sheet name="jgjg" sheetId="7" state="hidden" r:id="rId9"/>
    <sheet name="liste codes réf" sheetId="8" state="hidden" r:id="rId10"/>
  </sheets>
  <definedNames>
    <definedName function="false" hidden="false" localSheetId="5" name="_xlnm.Print_Area" vbProcedure="false">'06159000'!$A$1:$Q$82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'06159000'!$A$1:$Q$82</definedName>
    <definedName function="false" hidden="false" localSheetId="5" name="_xlnm__FilterDatabase" vbProcedure="false">'06159000'!$A$1:$C$1415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<sst xmlns="http://schemas.openxmlformats.org/spreadsheetml/2006/main" count="8844" uniqueCount="3497">
  <si>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</si>
  <si>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</si>
  <si>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</si>
  <si>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</si>
  <si>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</si>
  <si>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</si>
  <si>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</si>
  <si>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</si>
  <si>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</si>
  <si>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</si>
  <si>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</si>
  <si>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</si>
  <si>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</si>
  <si>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</si>
  <si>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</si>
  <si>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</si>
  <si>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</si>
  <si>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</si>
  <si>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</si>
  <si>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</si>
  <si>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</si>
  <si>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</si>
  <si>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</si>
  <si>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</si>
  <si>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</si>
  <si>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</si>
  <si>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</si>
  <si>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</si>
  <si>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</si>
  <si>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</si>
  <si>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</si>
  <si>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</si>
  <si>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</si>
  <si>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</si>
  <si>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</si>
  <si>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</si>
  <si>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</si>
  <si>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</si>
  <si>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</si>
  <si>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</si>
  <si>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</si>
  <si>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</si>
  <si>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</si>
  <si>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</si>
  <si>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</si>
  <si>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</si>
  <si>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</si>
  <si>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</si>
  <si>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</si>
  <si>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</si>
  <si>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</si>
  <si>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</si>
  <si>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</si>
  <si>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</si>
  <si>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</si>
  <si>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</si>
  <si>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</si>
  <si>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</si>
  <si>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</si>
  <si>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</si>
  <si>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</si>
  <si>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</si>
  <si>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</si>
  <si>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</si>
  <si>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</si>
  <si>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</si>
  <si>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</si>
  <si>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</si>
  <si>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</si>
  <si>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</si>
  <si>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</si>
  <si>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</si>
  <si>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</si>
  <si>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</si>
  <si>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</si>
  <si>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</si>
  <si>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</si>
  <si>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</si>
  <si>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</si>
  <si>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</si>
  <si>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</si>
  <si>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</si>
  <si>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</si>
  <si>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</si>
  <si>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</si>
  <si>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</si>
  <si>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</si>
  <si>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</si>
  <si>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</si>
  <si>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</si>
  <si>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</si>
  <si>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</si>
  <si>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</si>
  <si>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</si>
  <si>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</si>
  <si>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</si>
  <si>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</si>
  <si>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</si>
  <si>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</si>
  <si>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</si>
  <si>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</si>
  <si>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</si>
  <si>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</si>
  <si>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</si>
  <si>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</si>
  <si>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</si>
  <si>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</si>
  <si>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</si>
  <si>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</si>
  <si>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</si>
  <si>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</si>
  <si>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</si>
  <si>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</si>
  <si>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</si>
  <si>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</si>
  <si>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</si>
  <si>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</si>
  <si>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</si>
  <si>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</si>
  <si>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</si>
  <si>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</si>
  <si>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</si>
  <si>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</si>
  <si>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</si>
  <si>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</si>
  <si>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</si>
  <si>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</si>
  <si>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</si>
  <si>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</si>
  <si>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</si>
  <si>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</si>
  <si>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</si>
  <si>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</si>
  <si>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</si>
  <si>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</si>
  <si>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</si>
  <si>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</si>
  <si>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</si>
  <si>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</si>
  <si>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</si>
  <si>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</si>
  <si>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</si>
  <si>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</si>
  <si>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</si>
  <si>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</si>
  <si>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</si>
  <si>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</si>
  <si>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</si>
  <si>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</si>
  <si>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</si>
  <si>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</si>
  <si>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</si>
  <si>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</si>
  <si>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</si>
  <si>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</si>
  <si>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</si>
  <si>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</si>
  <si>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</si>
  <si>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</si>
  <si>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</si>
  <si>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</si>
  <si>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</si>
  <si>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</si>
  <si>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</si>
  <si>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</si>
  <si>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</si>
  <si>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</si>
  <si>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</si>
  <si>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</si>
  <si>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</si>
  <si>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</si>
  <si>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</si>
  <si>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</si>
  <si>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</si>
  <si>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</si>
  <si>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</si>
  <si>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</si>
  <si>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</si>
  <si>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</si>
  <si>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</si>
  <si>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</si>
  <si>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</si>
  <si>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</si>
  <si>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</si>
  <si>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</si>
  <si>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</si>
  <si>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</si>
  <si>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</si>
  <si>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</si>
  <si>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</si>
  <si>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</si>
  <si>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</si>
  <si>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</si>
  <si>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</si>
  <si>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</si>
  <si>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</si>
  <si>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</si>
  <si>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</si>
  <si>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</si>
  <si>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</si>
  <si>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</si>
  <si>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</si>
  <si>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</si>
  <si>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</si>
  <si>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</si>
  <si>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</si>
  <si>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</si>
  <si>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</si>
  <si>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</si>
  <si>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</si>
  <si>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</si>
  <si>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</si>
  <si>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</si>
  <si>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</si>
  <si>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</si>
  <si>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</si>
  <si>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</si>
  <si>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</si>
  <si>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</si>
  <si>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</si>
  <si>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</si>
  <si>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</si>
  <si>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</si>
  <si>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</si>
  <si>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</si>
  <si>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</si>
  <si>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</si>
  <si>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</si>
  <si>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</si>
  <si>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</si>
  <si>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</si>
  <si>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</si>
  <si>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</si>
  <si>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</si>
  <si>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</si>
  <si>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</si>
  <si>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</si>
  <si>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</si>
  <si>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</si>
  <si>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</si>
  <si>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</si>
  <si>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</si>
  <si>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</si>
  <si>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</si>
  <si>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</si>
  <si>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</si>
  <si>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</si>
  <si>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</si>
  <si>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</si>
  <si>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</si>
  <si>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</si>
  <si>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</si>
  <si>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</si>
  <si>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</si>
  <si>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</si>
  <si>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</si>
  <si>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</si>
  <si>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</si>
  <si>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</si>
  <si>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</si>
  <si>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</si>
  <si>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</si>
  <si>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</si>
  <si>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</si>
  <si>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</si>
  <si>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</si>
  <si>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</si>
  <si>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</si>
  <si>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</si>
  <si>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</si>
  <si>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</si>
  <si>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</si>
  <si>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</si>
  <si>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</si>
  <si>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</si>
  <si>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</si>
  <si>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</si>
  <si>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</si>
  <si>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</si>
  <si>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</si>
  <si>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</si>
  <si>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</si>
  <si>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</si>
  <si>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</si>
  <si>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</si>
  <si>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</si>
  <si>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</si>
  <si>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</si>
  <si>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</si>
  <si>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</si>
  <si>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</si>
  <si>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</si>
  <si>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</si>
  <si>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</si>
  <si>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</si>
  <si>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</si>
  <si>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</si>
  <si>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</si>
  <si>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</si>
  <si>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</si>
  <si>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</si>
  <si>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</si>
  <si>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</si>
  <si>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</si>
  <si>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</si>
  <si>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</si>
  <si>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</si>
  <si>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</si>
  <si>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</si>
  <si>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</si>
  <si>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</si>
  <si>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</si>
  <si>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</si>
  <si>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</si>
  <si>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</si>
  <si>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</si>
  <si>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</si>
  <si>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</si>
  <si>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</si>
  <si>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</si>
  <si>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</si>
  <si>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</si>
  <si>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</si>
  <si>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</si>
  <si>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</si>
  <si>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</si>
  <si>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</si>
  <si>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</si>
  <si>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</si>
  <si>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</si>
  <si>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</si>
  <si>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</si>
  <si>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</si>
  <si>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</si>
  <si>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</si>
  <si>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</si>
  <si>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</si>
  <si>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</si>
  <si>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</si>
  <si>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</si>
  <si>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</si>
  <si>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</si>
  <si>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</si>
  <si>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</si>
  <si>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</si>
  <si>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</si>
  <si>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</si>
  <si>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</si>
  <si>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</si>
  <si>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</si>
  <si>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</si>
  <si>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</si>
  <si>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</si>
  <si>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</si>
  <si>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</si>
  <si>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</si>
  <si>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</si>
  <si>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</si>
  <si>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</si>
  <si>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</si>
  <si>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</si>
  <si>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</si>
  <si>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</si>
  <si>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</si>
  <si>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</si>
  <si>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</si>
  <si>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</si>
  <si>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</si>
  <si>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</si>
  <si>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</si>
  <si>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</si>
  <si>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</si>
  <si>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</si>
  <si>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</si>
  <si>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</si>
  <si>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</si>
  <si>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</si>
  <si>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</si>
  <si>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</si>
  <si>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</si>
  <si>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</si>
  <si>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</si>
  <si>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</si>
  <si>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</si>
  <si>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</si>
  <si>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</si>
  <si>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</si>
  <si>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</si>
  <si>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</si>
  <si>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</si>
  <si>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</si>
  <si>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</si>
  <si>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</si>
  <si>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</si>
  <si>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</si>
  <si>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</si>
  <si>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</si>
  <si>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</si>
  <si>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</si>
  <si>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</si>
  <si>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</si>
  <si>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</si>
  <si>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</si>
  <si>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</si>
  <si>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</si>
  <si>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</si>
  <si>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</si>
  <si>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</si>
  <si>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</si>
  <si>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</si>
  <si>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</si>
  <si>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</si>
  <si>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</si>
  <si>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</si>
  <si>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</si>
  <si>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</si>
  <si>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</si>
  <si>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</si>
  <si>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</si>
  <si>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</si>
  <si>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</si>
  <si>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</si>
  <si>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</si>
  <si>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</si>
  <si>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</si>
  <si>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</si>
  <si>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</si>
  <si>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</si>
  <si>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</si>
  <si>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</si>
  <si>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</si>
  <si>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</si>
  <si>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</si>
  <si>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</si>
  <si>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</si>
  <si>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</si>
  <si>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</si>
  <si>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</si>
  <si>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</si>
  <si>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</si>
  <si>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</si>
  <si>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</si>
  <si>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</si>
  <si>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</si>
  <si>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</si>
  <si>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</si>
  <si>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</si>
  <si>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</si>
  <si>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</si>
  <si>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</si>
  <si>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</si>
  <si>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</si>
  <si>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</si>
  <si>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</si>
  <si>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</si>
  <si>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</si>
  <si>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</si>
  <si>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</si>
  <si>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</si>
  <si>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</si>
  <si>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</si>
  <si>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</si>
  <si>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</si>
  <si>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</si>
  <si>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</si>
  <si>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</si>
  <si>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</si>
  <si>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</si>
  <si>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</si>
  <si>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</si>
  <si>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</si>
  <si>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</si>
  <si>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</si>
  <si>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</si>
  <si>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</si>
  <si>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</si>
  <si>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</si>
  <si>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</si>
  <si>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</si>
  <si>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</si>
  <si>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</si>
  <si>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</si>
  <si>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</si>
  <si>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</si>
  <si>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</si>
  <si>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</si>
  <si>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</si>
  <si>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</si>
  <si>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</si>
  <si>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</si>
  <si>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</si>
  <si>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</si>
  <si>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</si>
  <si>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</si>
  <si>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</si>
  <si>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</si>
  <si>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</si>
  <si>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</si>
  <si>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</si>
  <si>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</si>
  <si>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</si>
  <si>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</si>
  <si>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</si>
  <si>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</si>
  <si>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</si>
  <si>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</si>
  <si>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</si>
  <si>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</si>
  <si>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</si>
  <si>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</si>
  <si>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</si>
  <si>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</si>
  <si>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</si>
  <si>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</si>
  <si>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</si>
  <si>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</si>
  <si>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</si>
  <si>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</si>
  <si>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</si>
  <si>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</si>
  <si>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</si>
  <si>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</si>
  <si>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</si>
  <si>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</si>
  <si>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</si>
  <si>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</si>
  <si>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</si>
  <si>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</si>
  <si>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</si>
  <si>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</si>
  <si>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</si>
  <si>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</si>
  <si>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</si>
  <si>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</si>
  <si>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</si>
  <si>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</si>
  <si>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</si>
  <si>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</si>
  <si>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</si>
  <si>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</si>
  <si>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</si>
  <si>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</si>
  <si>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</si>
  <si>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</si>
  <si>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</si>
  <si>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</si>
  <si>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</si>
  <si>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</si>
  <si>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</si>
  <si>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</si>
  <si>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</si>
  <si>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</si>
  <si>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</si>
  <si>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</si>
  <si>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</si>
  <si>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</si>
  <si>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</si>
  <si>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</si>
  <si>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</si>
  <si>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</si>
  <si>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</si>
  <si>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</si>
  <si>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</si>
  <si>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</si>
  <si>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</si>
  <si>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</si>
  <si>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</si>
  <si>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</si>
  <si>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</si>
  <si>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</si>
  <si>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</si>
  <si>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</si>
  <si>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</si>
  <si>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</si>
  <si>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</si>
  <si>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</si>
  <si>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</si>
  <si>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</si>
  <si>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</si>
  <si>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</si>
  <si>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</si>
  <si>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</si>
  <si>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</si>
  <si>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</si>
  <si>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</si>
  <si>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</si>
  <si>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</si>
  <si>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</si>
  <si>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</si>
  <si>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</si>
  <si>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</si>
  <si>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</si>
  <si>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</si>
  <si>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</si>
  <si>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</si>
  <si>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</si>
  <si>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</si>
  <si>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</si>
  <si>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</si>
  <si>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</si>
  <si>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</si>
  <si>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</si>
  <si>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</si>
  <si>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</si>
  <si>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</si>
  <si>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</si>
  <si>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</si>
  <si>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</si>
  <si>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</si>
  <si>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</si>
  <si>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</si>
  <si>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</si>
  <si>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</si>
  <si>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</si>
  <si>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</si>
  <si>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</si>
  <si>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</si>
  <si>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</si>
  <si>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</si>
  <si>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</si>
  <si>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</si>
  <si>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</si>
  <si>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</si>
  <si>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</si>
  <si>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</si>
  <si>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</si>
  <si>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</si>
  <si>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</si>
  <si>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</si>
  <si>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</si>
  <si>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</si>
  <si>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</si>
  <si>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</si>
  <si>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</si>
  <si>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</si>
  <si>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</si>
  <si>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</si>
  <si>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</si>
  <si>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</si>
  <si>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</si>
  <si>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</si>
  <si>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</si>
  <si>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</si>
  <si>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</si>
  <si>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</si>
  <si>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</si>
  <si>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</si>
  <si>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</si>
  <si>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</si>
  <si>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</si>
  <si>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</si>
  <si>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</si>
  <si>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</si>
  <si>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</si>
  <si>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</si>
  <si>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</si>
  <si>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</si>
  <si>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</si>
  <si>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</si>
  <si>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</si>
  <si>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</si>
  <si>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</si>
  <si>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</si>
  <si>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</si>
  <si>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</si>
  <si>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</si>
  <si>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</si>
  <si>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</si>
  <si>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</si>
  <si>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</si>
  <si>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</si>
  <si>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</si>
  <si>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</si>
  <si>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</si>
  <si>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</si>
  <si>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</si>
  <si>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</si>
  <si>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</si>
  <si>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</si>
  <si>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</si>
  <si>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</si>
  <si>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</si>
  <si>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</si>
  <si>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</si>
  <si>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</si>
  <si>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</si>
  <si>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</si>
  <si>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</si>
  <si>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</si>
  <si>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</si>
  <si>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</si>
  <si>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</si>
  <si>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</si>
  <si>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</si>
  <si>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</si>
  <si>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</si>
  <si>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</si>
  <si>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</si>
  <si>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</si>
  <si>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</si>
  <si>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</si>
  <si>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</si>
  <si>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</si>
  <si>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</si>
  <si>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</si>
  <si>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</si>
  <si>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</si>
  <si>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</si>
  <si>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</si>
  <si>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</si>
  <si>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</si>
  <si>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</si>
  <si>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</si>
  <si>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</si>
  <si>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</si>
  <si>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</si>
  <si>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</si>
  <si>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</si>
  <si>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</si>
  <si>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</si>
  <si>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</si>
  <si>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</si>
  <si>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</si>
  <si>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</si>
  <si>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</si>
  <si>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</si>
  <si>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</si>
  <si>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</si>
  <si>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</si>
  <si>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</si>
  <si>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</si>
  <si>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</si>
  <si>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</si>
  <si>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</si>
  <si>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</si>
  <si>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</si>
  <si>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</si>
  <si>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</si>
  <si>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</si>
  <si>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</si>
  <si>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</si>
  <si>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</si>
  <si>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</si>
  <si>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</si>
  <si>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</si>
  <si>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</si>
  <si>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</si>
  <si>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</si>
  <si>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</si>
  <si>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</si>
  <si>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</si>
  <si>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</si>
  <si>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</si>
  <si>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</si>
  <si>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</si>
  <si>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</si>
  <si>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</si>
  <si>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</si>
  <si>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</si>
  <si>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</si>
  <si>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</si>
  <si>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</si>
  <si>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</si>
  <si>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</si>
  <si>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</si>
  <si>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</si>
  <si>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</si>
  <si>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</si>
  <si>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</si>
  <si>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</si>
  <si>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</si>
  <si>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</si>
  <si>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</si>
  <si>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</si>
  <si>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</si>
  <si>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</si>
  <si>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</si>
  <si>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</si>
  <si>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</si>
  <si>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</si>
  <si>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</si>
  <si>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</si>
  <si>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</si>
  <si>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</si>
  <si>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</si>
  <si>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</si>
  <si>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</si>
  <si>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</si>
  <si>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</si>
  <si>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</si>
  <si>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</si>
  <si>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</si>
  <si>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</si>
  <si>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</si>
  <si>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</si>
  <si>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</si>
  <si>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</si>
  <si>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</si>
  <si>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</si>
  <si>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</si>
  <si>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</si>
  <si>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</si>
  <si>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</si>
  <si>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</si>
  <si>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</si>
  <si>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</si>
  <si>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</si>
  <si>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</si>
  <si>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</si>
  <si>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</si>
  <si>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</si>
  <si>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</si>
  <si>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</si>
  <si>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</si>
  <si>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</si>
  <si>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</si>
  <si>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</si>
  <si>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</si>
  <si>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</si>
  <si>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</si>
  <si>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</si>
  <si>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</si>
  <si>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</si>
  <si>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</si>
  <si>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</si>
  <si>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</si>
  <si>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</si>
  <si>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</si>
  <si>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</si>
  <si>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</si>
  <si>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</si>
  <si>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</si>
  <si>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</si>
  <si>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</si>
  <si>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</si>
  <si>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</si>
  <si>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</si>
  <si>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</si>
  <si>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</si>
  <si>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</si>
  <si>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</si>
  <si>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</si>
  <si>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</si>
  <si>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</si>
  <si>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</si>
  <si>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</si>
  <si>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</si>
  <si>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</si>
  <si>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</si>
  <si>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</si>
  <si>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</si>
  <si>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</si>
  <si>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</si>
  <si>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</si>
  <si>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</si>
  <si>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</si>
  <si>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</si>
  <si>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</si>
  <si>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</si>
  <si>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</si>
  <si>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</si>
  <si>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</si>
  <si>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</si>
  <si>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</si>
  <si>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</si>
  <si>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</si>
  <si>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</si>
  <si>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</si>
  <si>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</si>
  <si>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</si>
  <si>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</si>
  <si>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</si>
  <si>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</si>
  <si>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</si>
  <si>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</si>
  <si>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</si>
  <si>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</si>
  <si>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</si>
  <si>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</si>
  <si>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</si>
  <si>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</si>
  <si>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</si>
  <si>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</si>
  <si>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</si>
  <si>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</si>
  <si>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</si>
  <si>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</si>
  <si>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</si>
  <si>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</si>
  <si>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</si>
  <si>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</si>
  <si>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</si>
  <si>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</si>
  <si>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</si>
  <si>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</si>
  <si>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</si>
  <si>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</si>
  <si>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</si>
  <si>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</si>
  <si>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</si>
  <si>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</si>
  <si>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</si>
  <si>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</si>
  <si>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</si>
  <si>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</si>
  <si>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</si>
  <si>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</si>
  <si>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</si>
  <si>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</si>
  <si>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</si>
  <si>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</si>
  <si>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</si>
  <si>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</si>
  <si>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</si>
  <si>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</si>
  <si>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</si>
  <si>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</si>
  <si>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</si>
  <si>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</si>
  <si>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</si>
  <si>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</si>
  <si>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</si>
  <si>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</si>
  <si>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</si>
  <si>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</si>
  <si>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</si>
  <si>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</si>
  <si>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</si>
  <si>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</si>
  <si>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</si>
  <si>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</si>
  <si>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</si>
  <si>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</si>
  <si>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</si>
  <si>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</si>
  <si>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</si>
  <si>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</si>
  <si>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</si>
  <si>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</si>
  <si>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</si>
  <si>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</si>
  <si>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</si>
  <si>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</si>
  <si>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</si>
  <si>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</si>
  <si>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</si>
  <si>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</si>
  <si>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</si>
  <si>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</si>
  <si>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</si>
  <si>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</si>
  <si>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</si>
  <si>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</si>
  <si>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</si>
  <si>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</si>
  <si>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</si>
  <si>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</si>
  <si>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</si>
  <si>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</si>
  <si>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</si>
  <si>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</si>
  <si>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</si>
  <si>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</si>
  <si>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</si>
  <si>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</si>
  <si>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</si>
  <si>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</si>
  <si>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</si>
  <si>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</si>
  <si>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</si>
  <si>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</si>
  <si>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</si>
  <si>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</si>
  <si>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</si>
  <si>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</si>
  <si>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</si>
  <si>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</si>
  <si>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</si>
  <si>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</si>
  <si>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</si>
  <si>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</si>
  <si>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</si>
  <si>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</si>
  <si>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</si>
  <si>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</si>
  <si>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</si>
  <si>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</si>
  <si>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</si>
  <si>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</si>
  <si>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</si>
  <si>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</si>
  <si>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</si>
  <si>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</si>
  <si>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</si>
  <si>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</si>
  <si>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</si>
  <si>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</si>
  <si>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</si>
  <si>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</si>
  <si>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</si>
  <si>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</si>
  <si>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</si>
  <si>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</si>
  <si>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</si>
  <si>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</si>
  <si>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</si>
  <si>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</si>
  <si>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</si>
  <si>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</si>
  <si>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</si>
  <si>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</si>
  <si>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</si>
  <si>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</si>
  <si>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</si>
  <si>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</si>
  <si>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</si>
  <si>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</si>
  <si>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</si>
  <si>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</si>
  <si>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</si>
  <si>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</si>
  <si>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</si>
  <si>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</si>
  <si>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</si>
  <si>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</si>
  <si>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</si>
  <si>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</si>
  <si>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</si>
  <si>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</si>
  <si>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</si>
  <si>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</si>
  <si>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</si>
  <si>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</si>
  <si>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</si>
  <si>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</si>
  <si>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</si>
  <si>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</si>
  <si>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</si>
  <si>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</si>
  <si>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</si>
  <si>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</si>
  <si>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</si>
  <si>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</si>
  <si>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</si>
  <si>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</si>
  <si>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</si>
  <si>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</si>
  <si>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</si>
  <si>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</si>
  <si>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</si>
  <si>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</si>
  <si>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</si>
  <si>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</si>
  <si>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</si>
  <si>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</si>
  <si>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</si>
  <si>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</si>
  <si>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</si>
  <si>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</si>
  <si>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</si>
  <si>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</si>
  <si>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</si>
  <si>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</si>
  <si>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</si>
  <si>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</si>
  <si>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</si>
  <si>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</si>
  <si>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</si>
  <si>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</si>
  <si>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</si>
  <si>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</si>
  <si>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</si>
  <si>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</si>
  <si>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</si>
  <si>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</si>
  <si>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</si>
  <si>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</si>
  <si>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</si>
  <si>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</si>
  <si>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</si>
  <si>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</si>
  <si>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</si>
  <si>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</si>
  <si>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</si>
  <si>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</si>
  <si>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</si>
  <si>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</si>
  <si>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</si>
  <si>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</si>
  <si>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</si>
  <si>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</si>
  <si>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</si>
  <si>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</si>
  <si>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</si>
  <si>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</si>
  <si>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</si>
  <si>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</si>
  <si>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</si>
  <si>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</si>
  <si>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</si>
  <si>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</si>
  <si>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</si>
  <si>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</si>
  <si>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</si>
  <si>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</si>
  <si>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</si>
  <si>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</si>
  <si>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</si>
  <si>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</si>
  <si>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</si>
  <si>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</si>
  <si>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</si>
  <si>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</si>
  <si>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</si>
  <si>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</si>
  <si>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</si>
  <si>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</si>
  <si>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</si>
  <si>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</si>
  <si>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</si>
  <si>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</si>
  <si>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</si>
  <si>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</si>
  <si>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</si>
  <si>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</si>
  <si>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</si>
  <si>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</si>
  <si>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</si>
  <si>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</si>
  <si>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</si>
  <si>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</si>
  <si>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</si>
  <si>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</si>
  <si>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</si>
  <si>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</si>
  <si>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</si>
  <si>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</si>
  <si>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</si>
  <si>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</si>
  <si>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</si>
  <si>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</si>
  <si>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</si>
  <si>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</si>
  <si>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</si>
  <si>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</si>
  <si>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</si>
  <si>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</si>
  <si>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</si>
  <si>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</si>
  <si>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</si>
  <si>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</si>
  <si>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</si>
  <si>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</si>
  <si>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</si>
  <si>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</si>
  <si>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</si>
  <si>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</si>
  <si>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</si>
  <si>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</si>
  <si>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</si>
  <si>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</si>
  <si>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</si>
  <si>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</si>
  <si>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</si>
  <si>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</si>
  <si>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</si>
  <si>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</si>
  <si>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</si>
  <si>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</si>
  <si>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</si>
  <si>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</si>
  <si>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</si>
  <si>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</si>
  <si>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</si>
  <si>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</si>
  <si>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</si>
  <si>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</si>
  <si>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</si>
  <si>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</si>
  <si>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</si>
  <si>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</si>
  <si>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</si>
  <si>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</si>
  <si>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</si>
  <si>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</si>
  <si>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</si>
  <si>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</si>
  <si>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</si>
  <si>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</si>
  <si>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</si>
  <si>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</si>
  <si>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</si>
  <si>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</si>
  <si>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</si>
  <si>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</si>
  <si>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</si>
  <si>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</si>
  <si>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</si>
  <si>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</si>
  <si>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</si>
  <si>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</si>
  <si>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</si>
  <si>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</si>
  <si>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</si>
  <si>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</si>
  <si>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</si>
  <si>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</si>
  <si>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</si>
  <si>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</si>
  <si>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</si>
  <si>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</si>
  <si>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</si>
  <si>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</si>
  <si>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</si>
  <si>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</si>
  <si>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</si>
  <si>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</si>
  <si>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</si>
  <si>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</si>
  <si>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</si>
  <si>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</si>
  <si>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</si>
  <si>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</si>
  <si>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</si>
  <si>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</si>
  <si>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</si>
  <si>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</si>
  <si>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</si>
  <si>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</si>
  <si>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</si>
  <si>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</si>
  <si>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</si>
  <si>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</si>
  <si>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</si>
  <si>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</si>
  <si>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</si>
  <si>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</si>
  <si>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</si>
  <si>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</si>
  <si>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</si>
  <si>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</si>
  <si>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</si>
  <si>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</si>
  <si>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</si>
  <si>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</si>
  <si>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</si>
  <si>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</si>
  <si>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</si>
  <si>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</si>
  <si>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</si>
  <si>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</si>
  <si>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</si>
  <si>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</si>
  <si>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</si>
  <si>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</si>
  <si>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</si>
  <si>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</si>
  <si>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</si>
  <si>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</si>
  <si>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</si>
  <si>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</si>
  <si>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</si>
  <si>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</si>
  <si>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</si>
  <si>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</si>
  <si>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</si>
  <si>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</si>
  <si>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</si>
  <si>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</si>
  <si>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</si>
  <si>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</si>
  <si>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</si>
  <si>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</si>
  <si>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</si>
  <si>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</si>
  <si>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</si>
  <si>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</si>
  <si>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</si>
  <si>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</si>
  <si>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</si>
  <si>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</si>
  <si>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</si>
  <si>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</si>
  <si>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</si>
  <si>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</si>
  <si>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</si>
  <si>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</si>
  <si>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</si>
  <si>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</si>
  <si>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</si>
  <si>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</si>
  <si>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</si>
  <si>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</si>
  <si>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</si>
  <si>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</si>
  <si>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</si>
  <si>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</si>
  <si>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</si>
  <si>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</si>
  <si>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</si>
  <si>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</si>
  <si>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</si>
  <si>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</si>
  <si>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</si>
  <si>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</si>
  <si>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</si>
  <si>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</si>
  <si>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</si>
  <si>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</si>
  <si>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</si>
  <si>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</si>
  <si>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</si>
  <si>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</si>
  <si>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</si>
  <si>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</si>
  <si>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</si>
  <si>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</si>
  <si>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</si>
  <si>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</si>
  <si>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</si>
  <si>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</si>
  <si>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</si>
  <si>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</si>
  <si>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</si>
  <si>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</si>
  <si>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</si>
  <si>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</si>
  <si>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</si>
  <si>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</si>
  <si>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</si>
  <si>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</si>
  <si>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</si>
  <si>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</si>
  <si>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</si>
  <si>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</si>
  <si>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</si>
  <si>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</si>
  <si>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</si>
  <si>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</si>
  <si>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</si>
  <si>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</si>
  <si>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</si>
  <si>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</si>
  <si>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</si>
  <si>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</si>
  <si>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</si>
  <si>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</si>
  <si>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</si>
  <si>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</si>
  <si>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</si>
  <si>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</si>
  <si>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</si>
  <si>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</si>
  <si>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</si>
  <si>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</si>
  <si>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</si>
  <si>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</si>
  <si>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</si>
  <si>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</si>
  <si>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</si>
  <si>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</si>
  <si>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</si>
  <si>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</si>
  <si>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</si>
  <si>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</si>
  <si>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</si>
  <si>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</si>
  <si>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</si>
  <si>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</si>
  <si>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</si>
  <si>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</si>
  <si>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</si>
  <si>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</si>
  <si>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</si>
  <si>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</si>
  <si>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</si>
  <si>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</si>
  <si>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</si>
  <si>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</si>
  <si>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</si>
  <si>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</si>
  <si>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</si>
  <si>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</si>
  <si>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</si>
  <si>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</si>
  <si>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</si>
  <si>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</si>
  <si>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</si>
  <si>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</si>
  <si>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</si>
  <si>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</si>
  <si>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</si>
  <si>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</si>
  <si>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</si>
  <si>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</si>
  <si>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</si>
  <si>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</si>
  <si>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</si>
  <si>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</si>
  <si>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</si>
  <si>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</si>
  <si>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</si>
  <si>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</si>
  <si>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</si>
  <si>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</si>
  <si>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</si>
  <si>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</si>
  <si>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</si>
  <si>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</si>
  <si>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</si>
  <si>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</si>
  <si>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</si>
  <si>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</si>
  <si>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</si>
  <si>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</si>
  <si>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</si>
  <si>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</si>
  <si>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</si>
  <si>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</si>
  <si>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</si>
  <si>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</si>
  <si>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</si>
  <si>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</si>
  <si>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</si>
  <si>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</si>
  <si>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</si>
  <si>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</si>
  <si>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</si>
  <si>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</si>
  <si>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</si>
  <si>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</si>
  <si>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</si>
  <si>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</si>
  <si>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</si>
  <si>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</si>
  <si>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</si>
  <si>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</si>
  <si>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</si>
  <si>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</si>
  <si>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</si>
  <si>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</si>
  <si>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</si>
  <si>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</si>
  <si>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</si>
  <si>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</si>
  <si>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</si>
  <si>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</si>
  <si>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</si>
  <si>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</si>
  <si>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</si>
  <si>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</si>
  <si>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</si>
  <si>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</si>
  <si>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</si>
  <si>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</si>
  <si>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</si>
  <si>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</si>
  <si>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</si>
  <si>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</si>
  <si>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</si>
  <si>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</si>
  <si>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</si>
  <si>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</si>
  <si>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</si>
  <si>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</si>
  <si>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</si>
  <si>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</si>
  <si>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</si>
  <si>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</si>
  <si>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</si>
  <si>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</si>
  <si>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</si>
  <si>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</si>
  <si>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</si>
  <si>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</si>
  <si>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</si>
  <si>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</si>
  <si>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</si>
  <si>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</si>
  <si>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</si>
  <si>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</si>
  <si>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</si>
  <si>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</si>
  <si>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</si>
  <si>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</si>
  <si>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</si>
  <si>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</si>
  <si>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</si>
  <si>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</si>
  <si>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</si>
  <si>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</si>
  <si>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</si>
  <si>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</si>
  <si>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</si>
  <si>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</si>
  <si>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</si>
  <si>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</si>
  <si>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</si>
  <si>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</si>
  <si>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</si>
  <si>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</si>
  <si>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</si>
  <si>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</si>
  <si>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</si>
  <si>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</si>
  <si>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</si>
  <si>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</si>
  <si>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</si>
  <si>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</si>
  <si>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</si>
  <si>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</si>
  <si>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</si>
  <si>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</si>
  <si>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</si>
  <si>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</si>
  <si>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</si>
  <si>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</si>
  <si>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</si>
  <si>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</si>
  <si>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</si>
  <si>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</si>
  <si>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</si>
  <si>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</si>
  <si>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</si>
  <si>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</si>
  <si>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</si>
  <si>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</si>
  <si>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</si>
  <si>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</si>
  <si>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</si>
  <si>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</si>
  <si>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</si>
  <si>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</si>
  <si>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</si>
  <si>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</si>
  <si>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</si>
  <si>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</si>
  <si>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</si>
  <si>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</si>
  <si>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</si>
  <si>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</si>
  <si>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</si>
  <si>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</si>
  <si>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</si>
  <si>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</si>
  <si>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</si>
  <si>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</si>
  <si>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</si>
  <si>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</si>
  <si>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</si>
  <si>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</si>
  <si>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</si>
  <si>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</si>
  <si>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</si>
  <si>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</si>
  <si>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</si>
  <si>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</si>
  <si>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</si>
  <si>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</si>
  <si>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</si>
  <si>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</si>
  <si>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</si>
  <si>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</si>
  <si>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</si>
  <si>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</si>
  <si>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</si>
  <si>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</si>
  <si>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</si>
  <si>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</si>
  <si>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</si>
  <si>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</si>
  <si>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</si>
  <si>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</si>
  <si>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</si>
  <si>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</si>
  <si>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</si>
  <si>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</si>
  <si>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</si>
  <si>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</si>
  <si>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</si>
  <si>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</si>
  <si>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</si>
  <si>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</si>
  <si>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</si>
  <si>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</si>
  <si>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</si>
  <si>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</si>
  <si>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</si>
  <si>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</si>
  <si>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</si>
  <si>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</si>
  <si>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</si>
  <si>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</si>
  <si>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</si>
  <si>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</si>
  <si>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</si>
  <si>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</si>
  <si>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</si>
  <si>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</si>
  <si>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</si>
  <si>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</si>
  <si>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</si>
  <si>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</si>
  <si>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</si>
  <si>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</si>
  <si>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</si>
  <si>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</si>
  <si>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</si>
  <si>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</si>
  <si>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</si>
  <si>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</si>
  <si>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</si>
  <si>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</si>
  <si>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</si>
  <si>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</si>
  <si>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</si>
  <si>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</si>
  <si>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</si>
  <si>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</si>
  <si>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</si>
  <si>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</si>
  <si>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</si>
  <si>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</si>
  <si>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</si>
  <si>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</si>
  <si>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</si>
  <si>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</si>
  <si>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</si>
  <si>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</si>
  <si>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</si>
  <si>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</si>
  <si>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</si>
  <si>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</si>
  <si>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</si>
  <si>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</si>
  <si>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</si>
  <si>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</si>
  <si>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</si>
  <si>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</si>
  <si>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</si>
  <si>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</si>
  <si>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</si>
  <si>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</si>
  <si>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</si>
  <si>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</si>
  <si>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</si>
  <si>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</si>
  <si>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</si>
  <si>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</si>
  <si>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</si>
  <si>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</si>
  <si>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</si>
  <si>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</si>
  <si>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</si>
  <si>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</si>
  <si>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</si>
  <si>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</si>
  <si>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</si>
  <si>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</si>
  <si>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</si>
  <si>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</si>
  <si>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</si>
  <si>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</si>
  <si>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</si>
  <si>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</si>
  <si>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</si>
  <si>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</si>
  <si>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</si>
  <si>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</si>
  <si>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</si>
  <si>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</si>
  <si>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</si>
  <si>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</si>
  <si>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</si>
  <si>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</si>
  <si>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</si>
  <si>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</si>
  <si>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</si>
  <si>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</si>
  <si>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</si>
  <si>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</si>
  <si>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</si>
  <si>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</si>
  <si>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</si>
  <si>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</si>
  <si>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</si>
  <si>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</si>
  <si>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</si>
  <si>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</si>
  <si>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</si>
  <si>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</si>
  <si>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</si>
  <si>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</si>
  <si>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</si>
  <si>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</si>
  <si>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</si>
  <si>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</si>
  <si>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</si>
  <si>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</si>
  <si>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</si>
  <si>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</si>
  <si>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</si>
  <si>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</si>
  <si>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</si>
  <si>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</si>
  <si>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</si>
  <si>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</si>
  <si>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</si>
  <si>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</si>
  <si>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</si>
  <si>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</si>
  <si>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</si>
  <si>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</si>
  <si>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</si>
  <si>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</si>
  <si>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</si>
  <si>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</si>
  <si>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</si>
  <si>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</si>
  <si>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</si>
  <si>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</si>
  <si>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</si>
  <si>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</si>
  <si>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</si>
  <si>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</si>
  <si>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</si>
  <si>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</si>
  <si>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</si>
  <si>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</si>
  <si>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</si>
  <si>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</si>
  <si>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</si>
  <si>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</si>
  <si>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</si>
  <si>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</si>
  <si>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</si>
  <si>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</si>
  <si>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</si>
  <si>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</si>
  <si>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</si>
  <si>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</si>
  <si>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</si>
  <si>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</si>
  <si>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</si>
  <si>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</si>
  <si>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</si>
  <si>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</si>
  <si>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</si>
  <si>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</si>
  <si>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</si>
  <si>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</si>
  <si>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</si>
  <si>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</si>
  <si>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</si>
  <si>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</si>
  <si>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</si>
  <si>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</si>
  <si>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</si>
  <si>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</si>
  <si>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</si>
  <si>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</si>
  <si>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</si>
  <si>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</si>
  <si>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</si>
  <si>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</si>
  <si>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</si>
  <si>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</si>
  <si>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</si>
  <si>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</si>
  <si>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</si>
  <si>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</si>
  <si>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</si>
  <si>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</si>
  <si>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</si>
  <si>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</si>
  <si>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</si>
  <si>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</si>
  <si>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</si>
  <si>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</si>
  <si>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</si>
  <si>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</si>
  <si>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</si>
  <si>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</si>
  <si>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</si>
  <si>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</si>
  <si>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</si>
  <si>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</si>
  <si>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</si>
  <si>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</si>
  <si>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</si>
  <si>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</si>
  <si>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</si>
  <si>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</si>
  <si>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</si>
  <si>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</si>
  <si>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</si>
  <si>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</si>
  <si>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</si>
  <si>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</si>
  <si>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</si>
  <si>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</si>
  <si>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</si>
  <si>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</si>
  <si>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</si>
  <si>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</si>
  <si>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</si>
  <si>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</si>
  <si>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</si>
  <si>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</si>
  <si>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</si>
  <si>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</si>
  <si>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</si>
  <si>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</si>
  <si>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</si>
  <si>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</si>
  <si>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</si>
  <si>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</si>
  <si>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</si>
  <si>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</si>
  <si>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</si>
  <si>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</si>
  <si>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</si>
  <si>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</si>
  <si>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</si>
  <si>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</si>
  <si>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</si>
  <si>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</si>
  <si>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</si>
  <si>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</si>
  <si>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</si>
  <si>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</si>
  <si>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</si>
  <si>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</si>
  <si>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</si>
  <si>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</si>
  <si>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</si>
  <si>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</si>
  <si>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</si>
  <si>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</si>
  <si>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</si>
  <si>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</si>
  <si>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</si>
  <si>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</si>
  <si>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</si>
  <si>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</si>
  <si>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</si>
  <si>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</si>
  <si>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</si>
  <si>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</si>
  <si>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</si>
  <si>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</si>
  <si>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</si>
  <si>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</si>
  <si>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</si>
  <si>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</si>
  <si>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</si>
  <si>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</si>
  <si>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</si>
  <si>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</si>
  <si>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</si>
  <si>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</si>
  <si>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</si>
  <si>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</si>
  <si>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</si>
  <si>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</si>
  <si>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</si>
  <si>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</si>
  <si>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</si>
  <si>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</si>
  <si>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</si>
  <si>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</si>
  <si>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</si>
  <si>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</si>
  <si>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</si>
  <si>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</si>
  <si>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</si>
  <si>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</si>
  <si>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</si>
  <si>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</si>
  <si>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</si>
  <si>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</si>
  <si>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</si>
  <si>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</si>
  <si>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</si>
  <si>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</si>
  <si>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</si>
  <si>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</si>
  <si>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</si>
  <si>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</si>
  <si>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</si>
  <si>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</si>
  <si>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</si>
  <si>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</si>
  <si>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</si>
  <si>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</si>
  <si>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</si>
  <si>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</si>
  <si>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</si>
  <si>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</si>
  <si>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</si>
  <si>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</si>
  <si>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</si>
  <si>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</si>
  <si>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</si>
  <si>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</si>
  <si>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</si>
  <si>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</si>
  <si>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</si>
  <si>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</si>
  <si>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</si>
  <si>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</si>
  <si>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</si>
  <si>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</si>
  <si>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</si>
  <si>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</si>
  <si>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</si>
  <si>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</si>
  <si>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</si>
  <si>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</si>
  <si>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</si>
  <si>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</si>
  <si>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</si>
  <si>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</si>
  <si>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</si>
  <si>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</si>
  <si>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</si>
  <si>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</si>
  <si>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</si>
  <si>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</si>
  <si>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</si>
  <si>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</si>
  <si>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</si>
  <si>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</si>
  <si>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</si>
  <si>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</si>
  <si>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</si>
  <si>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</si>
  <si>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</si>
  <si>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</si>
  <si>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</si>
  <si>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</si>
  <si>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</si>
  <si>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</si>
  <si>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</si>
  <si>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</si>
  <si>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</si>
  <si>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</si>
  <si>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</si>
  <si>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</si>
  <si>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</si>
  <si>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</si>
  <si>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</si>
  <si>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</si>
  <si>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</si>
  <si>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</si>
  <si>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</si>
  <si>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</si>
  <si>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</si>
  <si>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</si>
  <si>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</si>
  <si>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</si>
  <si>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</si>
  <si>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</si>
  <si>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</si>
  <si>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</si>
  <si>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</si>
  <si>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</si>
  <si>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</si>
  <si>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</si>
  <si>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</si>
  <si>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</si>
  <si>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</si>
  <si>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</si>
  <si>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</si>
  <si>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</si>
  <si>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</si>
  <si>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</si>
  <si>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</si>
  <si>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</si>
  <si>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</si>
  <si>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</si>
  <si>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</si>
  <si>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</si>
  <si>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</si>
  <si>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</si>
  <si>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</si>
  <si>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</si>
  <si>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</si>
  <si>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</si>
  <si>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</si>
  <si>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</si>
  <si>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</si>
  <si>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</si>
  <si>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</si>
  <si>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</si>
  <si>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</si>
  <si>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</si>
  <si>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</si>
  <si>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</si>
  <si>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</si>
  <si>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</si>
  <si>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</si>
  <si>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</si>
  <si>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</si>
  <si>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</si>
  <si>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</si>
  <si>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</si>
  <si>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</si>
  <si>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</si>
  <si>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</si>
  <si>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</si>
  <si>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</si>
  <si>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</si>
  <si>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</si>
  <si>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</si>
  <si>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</si>
  <si>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</si>
  <si>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</si>
  <si>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</si>
  <si>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</si>
  <si>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</si>
  <si>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</si>
  <si>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</si>
  <si>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</si>
  <si>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</si>
  <si>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</si>
  <si>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</si>
  <si>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</si>
  <si>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</si>
  <si>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</si>
  <si>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</si>
  <si>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</si>
  <si>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</si>
  <si>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</si>
  <si>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</si>
  <si>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</si>
  <si>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</si>
  <si>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</si>
  <si>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</si>
  <si>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</si>
  <si>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</si>
  <si>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</si>
  <si>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</si>
  <si>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</si>
  <si>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</si>
  <si>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</si>
  <si>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</si>
  <si>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</si>
  <si>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</si>
  <si>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</si>
  <si>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</si>
  <si>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</si>
  <si>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</si>
  <si>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</si>
  <si>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</si>
  <si>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</si>
  <si>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</si>
  <si>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</si>
  <si>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</si>
  <si>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</si>
  <si>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</si>
  <si>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</si>
  <si>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</si>
  <si>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</si>
  <si>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</si>
  <si>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</si>
  <si>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</si>
  <si>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</si>
  <si>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</si>
  <si>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</si>
  <si>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</si>
  <si>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</si>
  <si>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</si>
  <si>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</si>
  <si>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</si>
  <si>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</si>
  <si>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</si>
  <si>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</si>
  <si>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</si>
  <si>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</si>
  <si>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</si>
  <si>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</si>
  <si>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</si>
  <si>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</si>
  <si>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</si>
  <si>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</si>
  <si>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</si>
  <si>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</si>
  <si>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</si>
  <si>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</si>
  <si>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</si>
  <si>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</si>
  <si>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</si>
  <si>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</si>
  <si>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</si>
  <si>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</si>
  <si>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</si>
  <si>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</si>
  <si>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</si>
  <si>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</si>
  <si>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</si>
  <si>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</si>
  <si>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</si>
  <si>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</si>
  <si>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</si>
  <si>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</si>
  <si>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</si>
  <si>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</si>
  <si>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</si>
  <si>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</si>
  <si>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</si>
  <si>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</si>
  <si>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</si>
  <si>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</si>
  <si>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</si>
  <si>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</si>
  <si>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</si>
  <si>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</si>
  <si>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</si>
  <si>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</si>
  <si>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</si>
  <si>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</si>
  <si>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</si>
  <si>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</si>
  <si>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</si>
  <si>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</si>
  <si>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</si>
  <si>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</si>
  <si>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</si>
  <si>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</si>
  <si>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</si>
  <si>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</si>
  <si>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</si>
  <si>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</si>
  <si>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</si>
  <si>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</si>
  <si>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</si>
  <si>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</si>
  <si>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</si>
  <si>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</si>
  <si>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</si>
  <si>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</si>
  <si>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</si>
  <si>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</si>
  <si>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</si>
  <si>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</si>
  <si>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</si>
  <si>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</si>
  <si>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</si>
  <si>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</si>
  <si>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</si>
  <si>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</si>
  <si>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</si>
  <si>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</si>
  <si>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</si>
  <si>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</si>
  <si>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</si>
  <si>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</si>
  <si>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</si>
  <si>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</si>
  <si>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</si>
  <si>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</si>
  <si>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</si>
  <si>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</si>
  <si>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</si>
  <si>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</si>
  <si>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</si>
  <si>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</si>
  <si>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</si>
  <si>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</si>
  <si>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</si>
  <si>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</si>
  <si>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</si>
  <si>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</si>
  <si>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</si>
  <si>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</si>
  <si>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</si>
  <si>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</si>
  <si>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</si>
  <si>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</si>
  <si>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</si>
  <si>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</si>
  <si>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</si>
  <si>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</si>
  <si>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</si>
  <si>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</si>
  <si>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</si>
  <si>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</si>
  <si>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</si>
  <si>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</si>
  <si>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</si>
  <si>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</si>
  <si>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</si>
  <si>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</si>
  <si>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</si>
  <si>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</si>
  <si>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</si>
  <si>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</si>
  <si>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</si>
  <si>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</si>
  <si>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</si>
  <si>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</si>
  <si>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</si>
  <si>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</si>
  <si>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</si>
  <si>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</si>
  <si>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</si>
  <si>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</si>
  <si>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</si>
  <si>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</si>
  <si>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</si>
  <si>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</si>
  <si>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</si>
  <si>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</si>
  <si>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</si>
  <si>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</si>
  <si>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</si>
  <si>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</si>
  <si>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</si>
  <si>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</si>
  <si>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</si>
  <si>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</si>
  <si>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</si>
  <si>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</si>
  <si>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</si>
  <si>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</si>
  <si>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</si>
  <si>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</si>
  <si>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</si>
  <si>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</si>
  <si>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</si>
  <si>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</si>
  <si>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</si>
  <si>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</si>
  <si>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</si>
  <si>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</si>
  <si>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</si>
  <si>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</si>
  <si>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</si>
  <si>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</si>
  <si>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</si>
  <si>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</si>
  <si>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</si>
  <si>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</si>
  <si>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</si>
  <si>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</si>
  <si>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</si>
  <si>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</si>
  <si>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</si>
  <si>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</si>
  <si>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</si>
  <si>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</si>
  <si>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</si>
  <si>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</si>
  <si>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</si>
  <si>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</si>
  <si>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</si>
  <si>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</si>
  <si>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</si>
  <si>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</si>
  <si>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</si>
  <si>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</si>
  <si>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</si>
  <si>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</si>
  <si>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</si>
  <si>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</si>
  <si>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</si>
  <si>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</si>
  <si>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</si>
  <si>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</si>
  <si>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</si>
  <si>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</si>
  <si>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</si>
  <si>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</si>
  <si>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</si>
  <si>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</si>
  <si>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</si>
  <si>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</si>
  <si>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</si>
  <si>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</si>
  <si>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</si>
  <si>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</si>
  <si>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</si>
  <si>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</si>
  <si>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</si>
  <si>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</si>
  <si>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</si>
  <si>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</si>
  <si>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</si>
  <si>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</si>
  <si>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</si>
  <si>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</si>
  <si>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</si>
  <si>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</si>
  <si>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</si>
  <si>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</si>
  <si>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</si>
  <si>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</si>
  <si>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</si>
  <si>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</si>
  <si>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</si>
  <si>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</si>
  <si>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</si>
  <si>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</si>
  <si>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</si>
  <si>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</si>
  <si>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</si>
  <si>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</si>
  <si>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</si>
  <si>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</si>
  <si>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</si>
  <si>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</si>
  <si>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</si>
  <si>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</si>
  <si>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</si>
  <si>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</si>
  <si>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</si>
  <si>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</si>
  <si>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</si>
  <si>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</si>
  <si>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</si>
  <si>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</si>
  <si>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</si>
  <si>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</si>
  <si>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</si>
  <si>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</si>
  <si>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</si>
  <si>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</si>
  <si>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</si>
  <si>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</si>
  <si>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</si>
  <si>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</si>
  <si>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</si>
  <si>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</si>
  <si>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</si>
  <si>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</si>
  <si>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</si>
  <si>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</si>
  <si>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</si>
  <si>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</si>
  <si>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</si>
  <si>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</si>
  <si>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</si>
  <si>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</si>
  <si>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</si>
  <si>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</si>
  <si>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</si>
  <si>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</si>
  <si>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</si>
  <si>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</si>
  <si>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</si>
  <si>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</si>
  <si>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</si>
  <si>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</si>
  <si>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</si>
  <si>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</si>
  <si>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</si>
  <si>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</si>
  <si>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</si>
  <si>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</si>
  <si>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</si>
  <si>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</si>
  <si>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</si>
  <si>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</si>
  <si>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</si>
  <si>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</si>
  <si>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</si>
  <si>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</si>
  <si>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</si>
  <si>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</si>
  <si>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</si>
  <si>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</si>
  <si>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</si>
  <si>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</si>
  <si>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</si>
  <si>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</si>
  <si>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</si>
  <si>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</si>
  <si>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</si>
  <si>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</si>
  <si>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</si>
  <si>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</si>
  <si>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</si>
  <si>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</si>
  <si>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</si>
  <si>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</si>
  <si>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</si>
  <si>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</si>
  <si>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</si>
  <si>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</si>
  <si>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</si>
  <si>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</si>
  <si>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</si>
  <si>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</si>
  <si>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</si>
  <si>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</si>
  <si>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</si>
  <si>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</si>
  <si>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</si>
  <si>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</si>
  <si>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</si>
  <si>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</si>
  <si>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</si>
  <si>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</si>
  <si>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</si>
  <si>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</si>
  <si>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</si>
  <si>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</si>
  <si>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</si>
  <si>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</si>
  <si>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</si>
  <si>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</si>
  <si>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</si>
  <si>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</si>
  <si>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</si>
  <si>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</si>
  <si>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</si>
  <si>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</si>
  <si>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</si>
  <si>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</si>
  <si>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</si>
  <si>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</si>
  <si>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</si>
  <si>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</si>
  <si>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</si>
  <si>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</si>
  <si>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</si>
  <si>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</si>
  <si>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</si>
  <si>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</si>
  <si>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</si>
  <si>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</si>
  <si>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</si>
  <si>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</si>
  <si>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</si>
  <si>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</si>
  <si>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</si>
  <si>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</si>
  <si>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</si>
  <si>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</si>
  <si>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</si>
  <si>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</si>
  <si>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</si>
  <si>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</si>
  <si>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</si>
  <si>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</si>
  <si>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</si>
  <si>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</si>
  <si>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</si>
  <si>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</si>
  <si>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</si>
  <si>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</si>
  <si>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</si>
  <si>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</si>
  <si>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</si>
  <si>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</si>
  <si>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</si>
  <si>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</si>
  <si>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</si>
  <si>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</si>
  <si>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</si>
  <si>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</si>
  <si>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</si>
  <si>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</si>
  <si>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</si>
  <si>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</si>
  <si>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</si>
  <si>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</si>
  <si>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</si>
  <si>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</si>
  <si>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</si>
  <si>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</si>
  <si>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</si>
  <si>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</si>
  <si>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</si>
  <si>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</si>
  <si>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</si>
  <si>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</si>
  <si>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</si>
  <si>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</si>
  <si>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</si>
  <si>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</si>
  <si>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</si>
  <si>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</si>
  <si>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</si>
  <si>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</si>
  <si>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</si>
  <si>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</si>
  <si>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</si>
  <si>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</si>
  <si>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</si>
  <si>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</si>
  <si>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</si>
  <si>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</si>
  <si>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</si>
  <si>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</si>
  <si>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</si>
  <si>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</si>
  <si>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</si>
  <si>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</si>
  <si>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</si>
  <si>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</si>
  <si>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</si>
  <si>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</si>
  <si>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</si>
  <si>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</si>
  <si>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</si>
  <si>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</si>
  <si>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</si>
  <si>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</si>
  <si>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</si>
  <si>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</si>
  <si>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</si>
  <si>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</si>
  <si>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</si>
  <si>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</si>
  <si>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</si>
  <si>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</si>
  <si>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</si>
  <si>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</si>
  <si>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</si>
  <si>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</si>
  <si>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</si>
  <si>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</si>
  <si>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</si>
  <si>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</si>
  <si>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</si>
  <si>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</si>
  <si>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</si>
  <si>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</si>
  <si>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</si>
  <si>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</si>
  <si>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</si>
  <si>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</si>
  <si>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</si>
  <si>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</si>
  <si>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</si>
  <si>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</si>
  <si>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</si>
  <si>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</si>
  <si>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</si>
  <si>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</si>
  <si>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</si>
  <si>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</si>
  <si>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</si>
  <si>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</si>
  <si>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</si>
  <si>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</si>
  <si>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</si>
  <si>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</si>
  <si>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</si>
  <si>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</si>
  <si>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</si>
  <si>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</si>
  <si>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</si>
  <si>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</si>
  <si>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</si>
  <si>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</si>
  <si>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</si>
  <si>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</si>
  <si>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</si>
  <si>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</si>
  <si>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</si>
  <si>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</si>
  <si>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</si>
  <si>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</si>
  <si>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</si>
  <si>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</si>
  <si>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</si>
  <si>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</si>
  <si>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</si>
  <si>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</si>
  <si>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</si>
  <si>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</si>
  <si>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</si>
  <si>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</si>
  <si>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</si>
  <si>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</si>
  <si>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</si>
  <si>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</si>
  <si>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</si>
  <si>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</si>
  <si>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</si>
  <si>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</si>
  <si>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</si>
  <si>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</si>
  <si>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</si>
  <si>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</si>
  <si>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</si>
  <si>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</si>
  <si>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</si>
  <si>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</si>
  <si>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</si>
  <si>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</si>
  <si>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</si>
  <si>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</si>
  <si>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</si>
  <si>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</si>
  <si>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</si>
  <si>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</si>
  <si>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</si>
  <si>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</si>
  <si>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</si>
  <si>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</si>
  <si>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</si>
  <si>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</si>
  <si>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</si>
  <si>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</si>
  <si>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</si>
  <si>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</si>
  <si>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</si>
  <si>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</si>
  <si>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</si>
  <si>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</si>
  <si>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</si>
  <si>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</si>
  <si>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</si>
  <si>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</si>
  <si>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</si>
  <si>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</si>
  <si>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</si>
  <si>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</si>
  <si>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</si>
  <si>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</si>
  <si>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</si>
  <si>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</si>
  <si>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</si>
  <si>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</si>
  <si>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</si>
  <si>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</si>
  <si>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</si>
  <si>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</si>
  <si>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</si>
  <si>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</si>
  <si>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</si>
  <si>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</si>
  <si>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</si>
  <si>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</si>
  <si>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</si>
  <si>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</si>
  <si>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</si>
  <si>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</si>
  <si>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</si>
  <si>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</si>
  <si>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</si>
  <si>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</si>
  <si>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</si>
  <si>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</si>
  <si>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</si>
  <si>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</si>
  <si>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</si>
  <si>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</si>
  <si>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</si>
  <si>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</si>
  <si>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</si>
  <si>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</si>
  <si>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</si>
  <si>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</si>
  <si>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</si>
  <si>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</si>
  <si>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</si>
  <si>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</si>
  <si>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</si>
  <si>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</si>
  <si>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</si>
  <si>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</si>
  <si>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</si>
  <si>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</si>
  <si>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</si>
  <si>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</si>
  <si>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</si>
  <si>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</si>
  <si>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</si>
  <si>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</si>
  <si>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</si>
  <si>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</si>
  <si>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</si>
  <si>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</si>
  <si>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</si>
  <si>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</si>
  <si>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</si>
  <si>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</si>
  <si>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</si>
  <si>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</si>
  <si>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</si>
  <si>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</si>
  <si>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</si>
  <si>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</si>
  <si>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</si>
  <si>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</si>
  <si>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</si>
  <si>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</si>
  <si>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</si>
  <si>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</si>
  <si>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</si>
  <si>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</si>
  <si>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</si>
  <si>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</si>
  <si>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</si>
  <si>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</si>
  <si>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</si>
  <si>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</si>
  <si>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</si>
  <si>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</si>
  <si>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</si>
  <si>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</si>
  <si>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</si>
  <si>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</si>
  <si>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</si>
  <si>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</si>
  <si>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</si>
  <si>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</si>
  <si>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</si>
  <si>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</si>
  <si>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</si>
  <si>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</si>
  <si>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</si>
  <si>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</si>
  <si>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</si>
  <si>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</si>
  <si>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</si>
  <si>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</si>
  <si>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</si>
  <si>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</si>
  <si>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</si>
  <si>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</si>
  <si>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</si>
  <si>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</si>
  <si>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</si>
  <si>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</si>
  <si>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</si>
  <si>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</si>
  <si>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</si>
  <si>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</si>
  <si>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</si>
  <si>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</si>
  <si>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</si>
  <si>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</si>
  <si>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</si>
  <si>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</si>
  <si>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</si>
  <si>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</si>
  <si>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</si>
  <si>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</si>
  <si>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</si>
  <si>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</si>
  <si>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</si>
  <si>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</si>
  <si>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</si>
  <si>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</si>
  <si>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</si>
  <si>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</si>
  <si>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</si>
  <si>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</si>
  <si>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</si>
  <si>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</si>
  <si>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</si>
  <si>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</si>
  <si>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</si>
  <si>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</si>
  <si>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</si>
  <si>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</si>
  <si>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</si>
  <si>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</si>
  <si>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</si>
  <si>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</si>
  <si>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</si>
  <si>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</si>
  <si>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</si>
  <si>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</si>
  <si>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</si>
  <si>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</si>
  <si>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</si>
  <si>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</si>
  <si>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</si>
  <si>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</si>
  <si>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</si>
  <si>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</si>
  <si>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</si>
  <si>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</si>
  <si>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</si>
  <si>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</si>
  <si>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</si>
  <si>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</si>
  <si>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</si>
  <si>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</si>
  <si>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</si>
  <si>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</si>
  <si>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</si>
  <si>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</si>
  <si>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</si>
  <si>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</si>
  <si>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</si>
  <si>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</si>
  <si>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</si>
  <si>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</si>
  <si>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</si>
  <si>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</si>
  <si>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</si>
  <si>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</si>
  <si>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</si>
  <si>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</si>
  <si>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</si>
  <si>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</si>
  <si>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</si>
  <si>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</si>
  <si>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</si>
  <si>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</si>
  <si>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</si>
  <si>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</si>
  <si>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</si>
  <si>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</si>
  <si>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</si>
  <si>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</si>
  <si>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</si>
  <si>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</si>
  <si>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</si>
  <si>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</si>
  <si>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</si>
  <si>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</si>
  <si>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</si>
  <si>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</si>
  <si>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</si>
  <si>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</si>
  <si>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</si>
  <si>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</si>
  <si>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</si>
  <si>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</si>
  <si>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</si>
  <si>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</si>
  <si>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</si>
  <si>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</si>
  <si>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</si>
  <si>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</si>
  <si>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</si>
  <si>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</si>
  <si>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</si>
  <si>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</si>
  <si>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</si>
  <si>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</si>
  <si>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</si>
  <si>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</si>
  <si>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</si>
  <si>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</si>
  <si>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</si>
  <si>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</si>
  <si>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</si>
  <si>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</si>
  <si>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</si>
  <si>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</si>
  <si>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</si>
  <si>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</si>
  <si>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</si>
  <si>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</si>
  <si>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</si>
  <si>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</si>
  <si>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</si>
  <si>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</si>
  <si>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</si>
  <si>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</si>
  <si>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</si>
  <si>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</si>
  <si>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</si>
  <si>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</si>
  <si>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</si>
  <si>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</si>
  <si>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</si>
  <si>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</si>
  <si>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</si>
  <si>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</si>
  <si>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</si>
  <si>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</si>
  <si>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</si>
  <si>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</si>
  <si>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</si>
  <si>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</si>
  <si>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</si>
  <si>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</si>
  <si>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</si>
  <si>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</si>
  <si>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</si>
  <si>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</si>
  <si>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</si>
  <si>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</si>
  <si>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</si>
  <si>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</si>
  <si>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</si>
  <si>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</si>
  <si>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</si>
  <si>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</si>
  <si>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</si>
  <si>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</si>
  <si>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</si>
  <si>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</si>
  <si>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</si>
  <si>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</si>
  <si>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</si>
  <si>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</si>
  <si>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</si>
  <si>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</si>
  <si>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</si>
  <si>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</si>
  <si>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</si>
  <si>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</si>
  <si>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</si>
  <si>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</si>
  <si>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</si>
  <si>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</si>
  <si>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</si>
  <si>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</si>
  <si>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</si>
  <si>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</si>
  <si>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</si>
  <si>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</si>
  <si>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</si>
  <si>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</si>
  <si>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</si>
  <si>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</si>
  <si>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</si>
  <si>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</si>
  <si>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</si>
  <si>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</si>
  <si>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</si>
  <si>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</si>
  <si>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</si>
  <si>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</si>
  <si>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</si>
  <si>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</si>
  <si>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</si>
  <si>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</si>
  <si>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</si>
  <si>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</si>
  <si>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</si>
  <si>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</si>
  <si>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</si>
  <si>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</si>
  <si>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</si>
  <si>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</si>
  <si>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</si>
  <si>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</si>
  <si>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</si>
  <si>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</si>
  <si>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</si>
  <si>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</si>
  <si>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</si>
  <si>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</si>
  <si>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</si>
  <si>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</si>
  <si>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</si>
  <si>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</si>
  <si>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</si>
  <si>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</si>
  <si>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</si>
  <si>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</si>
  <si>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</si>
  <si>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</si>
  <si>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</si>
  <si>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</si>
  <si>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</si>
  <si>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</si>
  <si>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</si>
  <si>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</si>
  <si>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</si>
  <si>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</si>
  <si>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</si>
  <si>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</si>
  <si>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</si>
  <si>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</si>
  <si>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</si>
  <si>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</si>
  <si>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</si>
  <si>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</si>
  <si>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</si>
  <si>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</si>
  <si>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</si>
  <si>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</si>
  <si>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</si>
  <si>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</si>
  <si>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</si>
  <si>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</si>
  <si>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</si>
  <si>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</si>
  <si>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</si>
  <si>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</si>
  <si>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</si>
  <si>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</si>
  <si>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</si>
  <si>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</si>
  <si>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</si>
  <si>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</si>
  <si>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</si>
  <si>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</si>
  <si>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</si>
  <si>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</si>
  <si>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</si>
  <si>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</si>
  <si>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</si>
  <si>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</si>
  <si>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</si>
  <si>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</si>
  <si>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</si>
  <si>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</si>
  <si>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</si>
  <si>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</si>
  <si>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</si>
  <si>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</si>
  <si>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</si>
  <si>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</si>
  <si>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</si>
  <si>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</si>
  <si>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</si>
  <si>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</si>
  <si>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</si>
  <si>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</si>
  <si>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</si>
  <si>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</si>
  <si>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</si>
  <si>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</si>
  <si>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</si>
  <si>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</si>
  <si>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</si>
  <si>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</si>
  <si>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</si>
  <si>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</si>
  <si>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</si>
  <si>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</si>
  <si>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</si>
  <si>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</si>
  <si>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</si>
  <si>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</si>
  <si>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</si>
  <si>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</si>
  <si>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</si>
  <si>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</si>
  <si>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</si>
  <si>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</si>
  <si>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</si>
  <si>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</si>
  <si>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</si>
  <si>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</si>
  <si>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</si>
  <si>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</si>
  <si>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</si>
  <si>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</si>
  <si>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</si>
  <si>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</si>
  <si>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</si>
  <si>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</si>
  <si>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</si>
  <si>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</si>
  <si>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</si>
  <si>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</si>
  <si>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</si>
  <si>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</si>
  <si>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</si>
  <si>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</si>
  <si>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</si>
  <si>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</si>
  <si>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</si>
  <si>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</si>
  <si>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</si>
  <si>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</si>
  <si>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</si>
  <si>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</si>
  <si>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</si>
  <si>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</si>
  <si>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</si>
  <si>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</si>
  <si>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</si>
  <si>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</si>
  <si>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</si>
  <si>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</si>
  <si>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</si>
  <si>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</si>
  <si>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</si>
  <si>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</si>
  <si>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</si>
  <si>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</si>
  <si>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</si>
  <si>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</si>
  <si>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</si>
  <si>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</si>
  <si>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</si>
  <si>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</si>
  <si>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</si>
  <si>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</si>
  <si>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</si>
  <si>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</si>
  <si>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</si>
  <si>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</si>
  <si>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</si>
  <si>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</si>
  <si>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</si>
  <si>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</si>
  <si>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</si>
  <si>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</si>
  <si>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</si>
  <si>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</si>
  <si>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</si>
  <si>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</si>
  <si>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</si>
  <si>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</si>
  <si>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</si>
  <si>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</si>
  <si>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</si>
  <si>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</si>
  <si>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</si>
  <si>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</si>
  <si>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</si>
  <si>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</si>
  <si>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</si>
  <si>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</si>
  <si>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</si>
  <si>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</si>
  <si>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</si>
  <si>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</si>
  <si>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</si>
  <si>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</si>
  <si>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</si>
  <si>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</si>
  <si>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</si>
  <si>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</si>
  <si>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</si>
  <si>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</si>
  <si>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</si>
  <si>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</si>
  <si>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</si>
  <si>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</si>
  <si>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</si>
  <si>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</si>
  <si>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</si>
  <si>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</si>
  <si>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</si>
  <si>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</si>
  <si>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</si>
  <si>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</si>
  <si>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</si>
  <si>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</si>
  <si>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</si>
  <si>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</si>
  <si>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</si>
  <si>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</si>
  <si>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</si>
  <si>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</si>
  <si>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</si>
  <si>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</si>
  <si>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</si>
  <si>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</si>
  <si>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</si>
  <si>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</si>
  <si>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</si>
  <si>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</si>
  <si>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</si>
  <si>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</si>
  <si>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</si>
  <si>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</si>
  <si>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</si>
  <si>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</si>
  <si>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</si>
  <si>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</si>
  <si>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</si>
  <si>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</si>
  <si>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</si>
  <si>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</si>
  <si>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</si>
  <si>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</si>
  <si>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</si>
  <si>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</si>
  <si>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</si>
  <si>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</si>
  <si>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</si>
  <si>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</si>
  <si>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</si>
  <si>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</si>
  <si>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</si>
  <si>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</si>
  <si>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</si>
  <si>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</si>
  <si>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</si>
  <si>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</si>
  <si>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</si>
  <si>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</si>
  <si>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</si>
  <si>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</si>
  <si>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</si>
  <si>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</si>
  <si>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</si>
  <si>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</si>
  <si>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</si>
  <si>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</si>
  <si>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</si>
  <si>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</si>
  <si>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</si>
  <si>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</si>
  <si>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</si>
  <si>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</si>
  <si>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</si>
  <si>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</si>
  <si>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</si>
  <si>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</si>
  <si>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</si>
  <si>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</si>
  <si>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</si>
  <si>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</si>
  <si>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</si>
  <si>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</si>
  <si>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</si>
  <si>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</si>
  <si>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</si>
  <si>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</si>
  <si>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</si>
  <si>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</si>
  <si>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</si>
  <si>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</si>
  <si>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</si>
  <si>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</si>
  <si>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</si>
  <si>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</si>
  <si>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</si>
  <si>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</si>
  <si>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</si>
  <si>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</si>
  <si>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</si>
  <si>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</si>
  <si>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</si>
  <si>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</si>
  <si>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</si>
  <si>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</si>
  <si>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</si>
  <si>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</si>
  <si>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</si>
  <si>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</si>
  <si>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</si>
  <si>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</si>
  <si>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</si>
  <si>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</si>
  <si>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</si>
  <si>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</si>
  <si>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</si>
  <si>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</si>
  <si>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</si>
  <si>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</si>
  <si>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</si>
  <si>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</si>
  <si>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</si>
  <si>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</si>
  <si>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</si>
  <si>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</si>
  <si>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</si>
  <si>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</si>
  <si>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</si>
  <si>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</si>
  <si>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</si>
  <si>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</si>
  <si>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</si>
  <si>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</si>
  <si>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</si>
  <si>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</si>
  <si>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</si>
  <si>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</si>
  <si>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</si>
  <si>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</si>
  <si>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</si>
  <si>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</si>
  <si>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</si>
  <si>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</si>
  <si>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</si>
  <si>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</si>
  <si>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</si>
  <si>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</si>
  <si>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</si>
  <si>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</si>
  <si>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</si>
  <si>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</si>
  <si>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</si>
  <si>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</si>
  <si>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</si>
  <si>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</si>
  <si>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</si>
  <si>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</si>
  <si>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</si>
  <si>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</si>
  <si>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</si>
  <si>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</si>
  <si>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</si>
  <si>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</si>
  <si>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</si>
  <si>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</si>
  <si>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</si>
  <si>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</si>
  <si>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</si>
  <si>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</si>
  <si>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</si>
  <si>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</si>
  <si>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</si>
  <si>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</si>
  <si>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</si>
  <si>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</si>
  <si>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</si>
  <si>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</si>
  <si>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</si>
  <si>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</si>
  <si>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</si>
  <si>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</si>
  <si>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</si>
  <si>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</si>
  <si>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</si>
  <si>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</si>
  <si>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</si>
  <si>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</si>
  <si>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</si>
  <si>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</si>
  <si>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</si>
  <si>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</si>
  <si>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</si>
  <si>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</si>
  <si>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</si>
  <si>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</si>
  <si>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</si>
  <si>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</si>
  <si>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</si>
  <si>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</si>
  <si>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</si>
  <si>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</si>
  <si>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</si>
  <si>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</si>
  <si>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</si>
  <si>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</si>
  <si>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</si>
  <si>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</si>
  <si>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</si>
  <si>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</si>
  <si>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</si>
  <si>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</si>
  <si>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</si>
  <si>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</si>
  <si>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</si>
  <si>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</si>
  <si>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</si>
  <si>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</si>
  <si>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</si>
  <si>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</si>
  <si>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</si>
  <si>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</si>
  <si>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</si>
  <si>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</si>
  <si>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</si>
  <si>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</si>
  <si>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</si>
  <si>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</si>
  <si>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</si>
  <si>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</si>
  <si>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</si>
  <si>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</si>
  <si>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</si>
  <si>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</si>
  <si>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</si>
  <si>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</si>
  <si>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</si>
  <si>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</si>
  <si>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</si>
  <si>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</si>
  <si>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</si>
  <si>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</si>
  <si>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</si>
  <si>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</si>
  <si>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</si>
  <si>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</si>
  <si>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</si>
  <si>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</si>
  <si>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</si>
  <si>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</si>
  <si>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</si>
  <si>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</si>
  <si>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</si>
  <si>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</si>
  <si>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</si>
  <si>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</si>
  <si>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DURANCE</t>
  </si>
  <si>
    <t xml:space="preserve">DURANCE A LES-MEES</t>
  </si>
  <si>
    <t xml:space="preserve">06159000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</si>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</sst>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10.8260869565217</v>
      </c>
      <c r="N5" s="324"/>
      <c r="O5" s="325" t="s">
        <v>398</v>
      </c>
      <c r="P5" s="326" t="n">
        <v>10.2972972972973</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10.5333333333333</v>
      </c>
      <c r="P8" s="356" t="n">
        <f aca="false">IF(ISERROR(AVERAGE(K23:K82)),"  ",AVERAGE(K23:K82))</f>
        <v>1.6</v>
      </c>
      <c r="Q8" s="357"/>
      <c r="R8" s="281"/>
      <c r="S8" s="281"/>
      <c r="T8" s="281"/>
      <c r="U8" s="281"/>
      <c r="V8" s="281"/>
      <c r="W8" s="295"/>
      <c r="X8" s="0"/>
      <c r="Y8" s="0"/>
      <c r="Z8" s="0"/>
    </row>
    <row r="9" customFormat="false" ht="12.75" hidden="false" customHeight="false" outlineLevel="0" collapsed="false">
      <c r="A9" s="314" t="s">
        <v>3398</v>
      </c>
      <c r="B9" s="358" t="n">
        <v>20</v>
      </c>
      <c r="C9" s="359"/>
      <c r="D9" s="360"/>
      <c r="E9" s="360"/>
      <c r="F9" s="361" t="n">
        <f aca="false">($B9*$B$7+$C9*$C$7)/100</f>
        <v>20</v>
      </c>
      <c r="G9" s="362"/>
      <c r="H9" s="317"/>
      <c r="I9" s="281"/>
      <c r="J9" s="363"/>
      <c r="K9" s="364"/>
      <c r="L9" s="347"/>
      <c r="M9" s="365"/>
      <c r="N9" s="355" t="s">
        <v>3399</v>
      </c>
      <c r="O9" s="356" t="n">
        <f aca="false">IF(ISERROR(STDEVP(J23:J82))," ",STDEVP(J23:J82))</f>
        <v>2.7292652653945</v>
      </c>
      <c r="P9" s="356" t="n">
        <f aca="false">IF(ISERROR(STDEVP(K23:K82)),"  ",STDEVP(K23:K82))</f>
        <v>0.611010092660779</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23</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14</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0.652173913043478</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23.235</v>
      </c>
      <c r="C20" s="433" t="n">
        <f aca="false">SUM(C23:C82)</f>
        <v>0</v>
      </c>
      <c r="D20" s="434"/>
      <c r="E20" s="435" t="s">
        <v>3424</v>
      </c>
      <c r="F20" s="436" t="n">
        <f aca="false">($B20*$B$7+$C20*$C$7)/100</f>
        <v>23.235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23.235</v>
      </c>
      <c r="C21" s="444" t="n">
        <f aca="false">C20*C7/100</f>
        <v>0</v>
      </c>
      <c r="D21" s="445" t="s">
        <v>3427</v>
      </c>
      <c r="E21" s="446"/>
      <c r="F21" s="447" t="n">
        <f aca="false">B21+C21</f>
        <v>23.235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65</v>
      </c>
      <c r="B23" s="472" t="n">
        <v>0.05</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0.05</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3</v>
      </c>
      <c r="C24" s="491"/>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3</v>
      </c>
      <c r="S24" s="485" t="n">
        <f aca="false">IF(OR(ISTEXT(H24),R24=0),"",IF(R24&lt;0.1,1,IF(R24&lt;1,2,IF(R24&lt;10,3,IF(R24&lt;50,4,IF(R24&gt;=50,5,""))))))</f>
        <v>3</v>
      </c>
      <c r="T24" s="485" t="n">
        <f aca="false">IF(ISERROR(S24*J24),0,S24*J24)</f>
        <v>39</v>
      </c>
      <c r="U24" s="485" t="n">
        <f aca="false">IF(ISERROR(S24*J24*K24),0,S24*J24*K24)</f>
        <v>39</v>
      </c>
      <c r="V24" s="501" t="n">
        <f aca="false">IF(ISERROR(S24*K24),0,S24*K24)</f>
        <v>3</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78</v>
      </c>
      <c r="B25" s="490" t="n">
        <v>0.005</v>
      </c>
      <c r="C25" s="491"/>
      <c r="D25" s="492" t="str">
        <f aca="false">IF(ISERROR(VLOOKUP($A25,'liste reference'!$A$6:$B$1174,2,0)),IF(ISERROR(VLOOKUP($A25,'liste reference'!$B$6:$B$1174,1,0)),"",VLOOKUP($A25,'liste reference'!$B$6:$B$1174,1,0)),VLOOKUP($A25,'liste reference'!$A$6:$B$1174,2,0))</f>
        <v>Chaetophora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1117</v>
      </c>
      <c r="R25" s="484" t="n">
        <f aca="false">IF(ISTEXT(H25),"",(B25*$B$7/100)+(C25*$C$7/100))</f>
        <v>0.005</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CHESPX</v>
      </c>
      <c r="Z25" s="470" t="n">
        <f aca="false">IF(ISERROR(MATCH(A25,'liste reference'!$A$6:$A$1174,0)),IF(ISERROR(MATCH(A25,'liste reference'!$B$6:$B$1174,0)),"",(MATCH(A25,'liste reference'!$B$6:$B$1174,0))),(MATCH(A25,'liste reference'!$A$6:$A$1174,0)))</f>
        <v>14</v>
      </c>
    </row>
    <row r="26" customFormat="false" ht="12.75" hidden="false" customHeight="false" outlineLevel="0" collapsed="false">
      <c r="A26" s="489" t="s">
        <v>134</v>
      </c>
      <c r="B26" s="490" t="n">
        <v>4</v>
      </c>
      <c r="C26" s="491"/>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4</v>
      </c>
      <c r="S26" s="485" t="n">
        <f aca="false">IF(OR(ISTEXT(H26),R26=0),"",IF(R26&lt;0.1,1,IF(R26&lt;1,2,IF(R26&lt;10,3,IF(R26&lt;50,4,IF(R26&gt;=50,5,""))))))</f>
        <v>3</v>
      </c>
      <c r="T26" s="485" t="n">
        <f aca="false">IF(ISERROR(S26*J26),0,S26*J26)</f>
        <v>18</v>
      </c>
      <c r="U26" s="485" t="n">
        <f aca="false">IF(ISERROR(S26*J26*K26),0,S26*J26*K26)</f>
        <v>18</v>
      </c>
      <c r="V26" s="501" t="n">
        <f aca="false">IF(ISERROR(S26*K26),0,S26*K26)</f>
        <v>3</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153</v>
      </c>
      <c r="B27" s="490" t="n">
        <v>1</v>
      </c>
      <c r="C27" s="491"/>
      <c r="D27" s="492" t="str">
        <f aca="false">IF(ISERROR(VLOOKUP($A27,'liste reference'!$A$6:$B$1174,2,0)),IF(ISERROR(VLOOKUP($A27,'liste reference'!$B$6:$B$1174,1,0)),"",VLOOKUP($A27,'liste reference'!$B$6:$B$1174,1,0)),VLOOKUP($A27,'liste reference'!$A$6:$B$1174,2,0))</f>
        <v>Didymosphenia sp.</v>
      </c>
      <c r="E27" s="493" t="e">
        <f aca="false">IF(D27="",0,VLOOKUP(D27,D$22:D26,1,0))</f>
        <v>#N/A</v>
      </c>
      <c r="F27" s="494" t="n">
        <f aca="false">IF(AND(OR(A27="",A27="!!!!!!"),B27="",C27=""),"",IF(OR(AND(B27="",C27=""),ISERROR(C27+B27)),"!!!",($B27*$B$7+$C27*$C$7)/100))</f>
        <v>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Didymosphenia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9381</v>
      </c>
      <c r="R27" s="484" t="n">
        <f aca="false">IF(ISTEXT(H27),"",(B27*$B$7/100)+(C27*$C$7/100))</f>
        <v>1</v>
      </c>
      <c r="S27" s="485" t="n">
        <f aca="false">IF(OR(ISTEXT(H27),R27=0),"",IF(R27&lt;0.1,1,IF(R27&lt;1,2,IF(R27&lt;10,3,IF(R27&lt;50,4,IF(R27&gt;=50,5,""))))))</f>
        <v>3</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DIYSPX</v>
      </c>
      <c r="Z27" s="470" t="n">
        <f aca="false">IF(ISERROR(MATCH(A27,'liste reference'!$A$6:$A$1174,0)),IF(ISERROR(MATCH(A27,'liste reference'!$B$6:$B$1174,0)),"",(MATCH(A27,'liste reference'!$B$6:$B$1174,0))),(MATCH(A27,'liste reference'!$A$6:$A$1174,0)))</f>
        <v>41</v>
      </c>
    </row>
    <row r="28" customFormat="false" ht="12.75" hidden="false" customHeight="false" outlineLevel="0" collapsed="false">
      <c r="A28" s="489" t="s">
        <v>244</v>
      </c>
      <c r="B28" s="490" t="n">
        <v>4</v>
      </c>
      <c r="C28" s="491"/>
      <c r="D28" s="492" t="str">
        <f aca="false">IF(ISERROR(VLOOKUP($A28,'liste reference'!$A$6:$B$1174,2,0)),IF(ISERROR(VLOOKUP($A28,'liste reference'!$B$6:$B$1174,1,0)),"",VLOOKUP($A28,'liste reference'!$B$6:$B$1174,1,0)),VLOOKUP($A28,'liste reference'!$A$6:$B$1174,2,0))</f>
        <v>Mougeotia sp.</v>
      </c>
      <c r="E28" s="493" t="e">
        <f aca="false">IF(D28="",0,VLOOKUP(D28,D$22:D27,1,0))</f>
        <v>#N/A</v>
      </c>
      <c r="F28" s="494" t="n">
        <f aca="false">IF(AND(OR(A28="",A28="!!!!!!"),B28="",C28=""),"",IF(OR(AND(B28="",C28=""),ISERROR(C28+B28)),"!!!",($B28*$B$7+$C28*$C$7)/100))</f>
        <v>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Mougeotia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1146</v>
      </c>
      <c r="R28" s="484" t="n">
        <f aca="false">IF(ISTEXT(H28),"",(B28*$B$7/100)+(C28*$C$7/100))</f>
        <v>4</v>
      </c>
      <c r="S28" s="485" t="n">
        <f aca="false">IF(OR(ISTEXT(H28),R28=0),"",IF(R28&lt;0.1,1,IF(R28&lt;1,2,IF(R28&lt;10,3,IF(R28&lt;50,4,IF(R28&gt;=50,5,""))))))</f>
        <v>3</v>
      </c>
      <c r="T28" s="485" t="n">
        <f aca="false">IF(ISERROR(S28*J28),0,S28*J28)</f>
        <v>39</v>
      </c>
      <c r="U28" s="485" t="n">
        <f aca="false">IF(ISERROR(S28*J28*K28),0,S28*J28*K28)</f>
        <v>78</v>
      </c>
      <c r="V28" s="501" t="n">
        <f aca="false">IF(ISERROR(S28*K28),0,S28*K28)</f>
        <v>6</v>
      </c>
      <c r="W28" s="502"/>
      <c r="X28" s="503"/>
      <c r="Y28" s="488" t="str">
        <f aca="false">IF(AND(ISNUMBER(F28),OR(A28="",A28="!!!!!!")),"!!!!!!",IF(A28="new.cod","NEWCOD",IF(AND((Z28=""),ISTEXT(A28),A28&lt;&gt;"!!!!!!"),A28,IF(Z28="","",INDEX('liste reference'!$A$6:$A$1174,Z28)))))</f>
        <v>MOUSPX</v>
      </c>
      <c r="Z28" s="470" t="n">
        <f aca="false">IF(ISERROR(MATCH(A28,'liste reference'!$A$6:$A$1174,0)),IF(ISERROR(MATCH(A28,'liste reference'!$B$6:$B$1174,0)),"",(MATCH(A28,'liste reference'!$B$6:$B$1174,0))),(MATCH(A28,'liste reference'!$A$6:$A$1174,0)))</f>
        <v>68</v>
      </c>
    </row>
    <row r="29" customFormat="false" ht="12.75" hidden="false" customHeight="false" outlineLevel="0" collapsed="false">
      <c r="A29" s="489" t="s">
        <v>343</v>
      </c>
      <c r="B29" s="490" t="n">
        <v>1.5</v>
      </c>
      <c r="C29" s="491"/>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1.5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1.5</v>
      </c>
      <c r="S29" s="485" t="n">
        <f aca="false">IF(OR(ISTEXT(H29),R29=0),"",IF(R29&lt;0.1,1,IF(R29&lt;1,2,IF(R29&lt;10,3,IF(R29&lt;50,4,IF(R29&gt;=50,5,""))))))</f>
        <v>3</v>
      </c>
      <c r="T29" s="485" t="n">
        <f aca="false">IF(ISERROR(S29*J29),0,S29*J29)</f>
        <v>30</v>
      </c>
      <c r="U29" s="485" t="n">
        <f aca="false">IF(ISERROR(S29*J29*K29),0,S29*J29*K29)</f>
        <v>30</v>
      </c>
      <c r="V29" s="501" t="n">
        <f aca="false">IF(ISERROR(S29*K29),0,S29*K29)</f>
        <v>3</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398</v>
      </c>
      <c r="B30" s="490" t="n">
        <v>1.55</v>
      </c>
      <c r="C30" s="491"/>
      <c r="D30" s="492" t="str">
        <f aca="false">IF(ISERROR(VLOOKUP($A30,'liste reference'!$A$6:$B$1174,2,0)),IF(ISERROR(VLOOKUP($A30,'liste reference'!$B$6:$B$1174,1,0)),"",VLOOKUP($A30,'liste reference'!$B$6:$B$1174,1,0)),VLOOKUP($A30,'liste reference'!$A$6:$B$1174,2,0))</f>
        <v>Zygnema sp.</v>
      </c>
      <c r="E30" s="493" t="e">
        <f aca="false">IF(D30="",0,VLOOKUP(D30,D$22:D29,1,0))</f>
        <v>#N/A</v>
      </c>
      <c r="F30" s="494" t="n">
        <f aca="false">IF(AND(OR(A30="",A30="!!!!!!"),B30="",C30=""),"",IF(OR(AND(B30="",C30=""),ISERROR(C30+B30)),"!!!",($B30*$B$7+$C30*$C$7)/100))</f>
        <v>1.55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1148</v>
      </c>
      <c r="R30" s="484" t="n">
        <f aca="false">IF(ISTEXT(H30),"",(B30*$B$7/100)+(C30*$C$7/100))</f>
        <v>1.55</v>
      </c>
      <c r="S30" s="485" t="n">
        <f aca="false">IF(OR(ISTEXT(H30),R30=0),"",IF(R30&lt;0.1,1,IF(R30&lt;1,2,IF(R30&lt;10,3,IF(R30&lt;50,4,IF(R30&gt;=50,5,""))))))</f>
        <v>3</v>
      </c>
      <c r="T30" s="485" t="n">
        <f aca="false">IF(ISERROR(S30*J30),0,S30*J30)</f>
        <v>39</v>
      </c>
      <c r="U30" s="485" t="n">
        <f aca="false">IF(ISERROR(S30*J30*K30),0,S30*J30*K30)</f>
        <v>117</v>
      </c>
      <c r="V30" s="501" t="n">
        <f aca="false">IF(ISERROR(S30*K30),0,S30*K30)</f>
        <v>9</v>
      </c>
      <c r="W30" s="502"/>
      <c r="X30" s="503"/>
      <c r="Y30" s="488" t="str">
        <f aca="false">IF(AND(ISNUMBER(F30),OR(A30="",A30="!!!!!!")),"!!!!!!",IF(A30="new.cod","NEWCOD",IF(AND((Z30=""),ISTEXT(A30),A30&lt;&gt;"!!!!!!"),A30,IF(Z30="","",INDEX('liste reference'!$A$6:$A$1174,Z30)))))</f>
        <v>ZYGSPX</v>
      </c>
      <c r="Z30" s="470" t="n">
        <f aca="false">IF(ISERROR(MATCH(A30,'liste reference'!$A$6:$A$1174,0)),IF(ISERROR(MATCH(A30,'liste reference'!$B$6:$B$1174,0)),"",(MATCH(A30,'liste reference'!$B$6:$B$1174,0))),(MATCH(A30,'liste reference'!$A$6:$A$1174,0)))</f>
        <v>119</v>
      </c>
    </row>
    <row r="31" customFormat="false" ht="12.75" hidden="false" customHeight="false" outlineLevel="0" collapsed="false">
      <c r="A31" s="489" t="s">
        <v>1255</v>
      </c>
      <c r="B31" s="490" t="n">
        <v>0.005</v>
      </c>
      <c r="C31" s="491"/>
      <c r="D31" s="492" t="str">
        <f aca="false">IF(ISERROR(VLOOKUP($A31,'liste reference'!$A$6:$B$1174,2,0)),IF(ISERROR(VLOOKUP($A31,'liste reference'!$B$6:$B$1174,1,0)),"",VLOOKUP($A31,'liste reference'!$B$6:$B$1174,1,0)),VLOOKUP($A31,'liste reference'!$A$6:$B$1174,2,0))</f>
        <v>Equisetum arvense</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1384</v>
      </c>
      <c r="R31" s="484" t="n">
        <f aca="false">IF(ISTEXT(H31),"",(B31*$B$7/100)+(C31*$C$7/100))</f>
        <v>0.005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EQUARV</v>
      </c>
      <c r="Z31" s="470" t="n">
        <f aca="false">IF(ISERROR(MATCH(A31,'liste reference'!$A$6:$A$1174,0)),IF(ISERROR(MATCH(A31,'liste reference'!$B$6:$B$1174,0)),"",(MATCH(A31,'liste reference'!$B$6:$B$1174,0))),(MATCH(A31,'liste reference'!$A$6:$A$1174,0)))</f>
        <v>385</v>
      </c>
    </row>
    <row r="32" customFormat="false" ht="12.75" hidden="false" customHeight="false" outlineLevel="0" collapsed="false">
      <c r="A32" s="489" t="s">
        <v>1333</v>
      </c>
      <c r="B32" s="490" t="n">
        <v>0.005</v>
      </c>
      <c r="C32" s="491"/>
      <c r="D32" s="492" t="str">
        <f aca="false">IF(ISERROR(VLOOKUP($A32,'liste reference'!$A$6:$B$1174,2,0)),IF(ISERROR(VLOOKUP($A32,'liste reference'!$B$6:$B$1174,1,0)),"",VLOOKUP($A32,'liste reference'!$B$6:$B$1174,1,0)),VLOOKUP($A32,'liste reference'!$A$6:$B$1174,2,0))</f>
        <v>Alisma plantago-aquatica</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8</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Alisma plantago-aquatica</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1447</v>
      </c>
      <c r="R32" s="484" t="n">
        <f aca="false">IF(ISTEXT(H32),"",(B32*$B$7/100)+(C32*$C$7/100))</f>
        <v>0.005</v>
      </c>
      <c r="S32" s="485" t="n">
        <f aca="false">IF(OR(ISTEXT(H32),R32=0),"",IF(R32&lt;0.1,1,IF(R32&lt;1,2,IF(R32&lt;10,3,IF(R32&lt;50,4,IF(R32&gt;=50,5,""))))))</f>
        <v>1</v>
      </c>
      <c r="T32" s="485" t="n">
        <f aca="false">IF(ISERROR(S32*J32),0,S32*J32)</f>
        <v>8</v>
      </c>
      <c r="U32" s="485" t="n">
        <f aca="false">IF(ISERROR(S32*J32*K32),0,S32*J32*K32)</f>
        <v>16</v>
      </c>
      <c r="V32" s="501" t="n">
        <f aca="false">IF(ISERROR(S32*K32),0,S32*K32)</f>
        <v>2</v>
      </c>
      <c r="W32" s="502"/>
      <c r="X32" s="503"/>
      <c r="Y32" s="488" t="str">
        <f aca="false">IF(AND(ISNUMBER(F32),OR(A32="",A32="!!!!!!")),"!!!!!!",IF(A32="new.cod","NEWCOD",IF(AND((Z32=""),ISTEXT(A32),A32&lt;&gt;"!!!!!!"),A32,IF(Z32="","",INDEX('liste reference'!$A$6:$A$1174,Z32)))))</f>
        <v>ALIPLA</v>
      </c>
      <c r="Z32" s="470" t="n">
        <f aca="false">IF(ISERROR(MATCH(A32,'liste reference'!$A$6:$A$1174,0)),IF(ISERROR(MATCH(A32,'liste reference'!$B$6:$B$1174,0)),"",(MATCH(A32,'liste reference'!$B$6:$B$1174,0))),(MATCH(A32,'liste reference'!$A$6:$A$1174,0)))</f>
        <v>415</v>
      </c>
    </row>
    <row r="33" customFormat="false" ht="12.75" hidden="false" customHeight="false" outlineLevel="0" collapsed="false">
      <c r="A33" s="489" t="s">
        <v>1471</v>
      </c>
      <c r="B33" s="490" t="n">
        <v>0.05</v>
      </c>
      <c r="C33" s="491"/>
      <c r="D33" s="492" t="str">
        <f aca="false">IF(ISERROR(VLOOKUP($A33,'liste reference'!$A$6:$B$1174,2,0)),IF(ISERROR(VLOOKUP($A33,'liste reference'!$B$6:$B$1174,1,0)),"",VLOOKUP($A33,'liste reference'!$B$6:$B$1174,1,0)),VLOOKUP($A33,'liste reference'!$A$6:$B$1174,2,0))</f>
        <v>Groenlandia densa</v>
      </c>
      <c r="E33" s="493" t="e">
        <f aca="false">IF(D33="",0,VLOOKUP(D33,D$22:D32,1,0))</f>
        <v>#N/A</v>
      </c>
      <c r="F33" s="494" t="n">
        <f aca="false">IF(AND(OR(A33="",A33="!!!!!!"),B33="",C33=""),"",IF(OR(AND(B33="",C33=""),ISERROR(C33+B33)),"!!!",($B33*$B$7+$C33*$C$7)/100))</f>
        <v>0.05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Groenlandia densa</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1638</v>
      </c>
      <c r="R33" s="484" t="n">
        <f aca="false">IF(ISTEXT(H33),"",(B33*$B$7/100)+(C33*$C$7/100))</f>
        <v>0.05</v>
      </c>
      <c r="S33" s="485" t="n">
        <f aca="false">IF(OR(ISTEXT(H33),R33=0),"",IF(R33&lt;0.1,1,IF(R33&lt;1,2,IF(R33&lt;10,3,IF(R33&lt;50,4,IF(R33&gt;=50,5,""))))))</f>
        <v>1</v>
      </c>
      <c r="T33" s="485" t="n">
        <f aca="false">IF(ISERROR(S33*J33),0,S33*J33)</f>
        <v>11</v>
      </c>
      <c r="U33" s="485" t="n">
        <f aca="false">IF(ISERROR(S33*J33*K33),0,S33*J33*K33)</f>
        <v>22</v>
      </c>
      <c r="V33" s="501" t="n">
        <f aca="false">IF(ISERROR(S33*K33),0,S33*K33)</f>
        <v>2</v>
      </c>
      <c r="W33" s="502"/>
      <c r="X33" s="503"/>
      <c r="Y33" s="488" t="str">
        <f aca="false">IF(AND(ISNUMBER(F33),OR(A33="",A33="!!!!!!")),"!!!!!!",IF(A33="new.cod","NEWCOD",IF(AND((Z33=""),ISTEXT(A33),A33&lt;&gt;"!!!!!!"),A33,IF(Z33="","",INDEX('liste reference'!$A$6:$A$1174,Z33)))))</f>
        <v>GRODEN</v>
      </c>
      <c r="Z33" s="470" t="n">
        <f aca="false">IF(ISERROR(MATCH(A33,'liste reference'!$A$6:$A$1174,0)),IF(ISERROR(MATCH(A33,'liste reference'!$B$6:$B$1174,0)),"",(MATCH(A33,'liste reference'!$B$6:$B$1174,0))),(MATCH(A33,'liste reference'!$A$6:$A$1174,0)))</f>
        <v>458</v>
      </c>
    </row>
    <row r="34" customFormat="false" ht="12.75" hidden="false" customHeight="false" outlineLevel="0" collapsed="false">
      <c r="A34" s="489" t="s">
        <v>1483</v>
      </c>
      <c r="B34" s="490" t="n">
        <v>0.005</v>
      </c>
      <c r="C34" s="491"/>
      <c r="D34" s="492" t="str">
        <f aca="false">IF(ISERROR(VLOOKUP($A34,'liste reference'!$A$6:$B$1174,2,0)),IF(ISERROR(VLOOKUP($A34,'liste reference'!$B$6:$B$1174,1,0)),"",VLOOKUP($A34,'liste reference'!$B$6:$B$1174,1,0)),VLOOKUP($A34,'liste reference'!$A$6:$B$1174,2,0))</f>
        <v>Helosciadium nodiflorum </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Helosciadium nodiflorum </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30053</v>
      </c>
      <c r="R34" s="484" t="n">
        <f aca="false">IF(ISTEXT(H34),"",(B34*$B$7/100)+(C34*$C$7/100))</f>
        <v>0.005</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HELNOD</v>
      </c>
      <c r="Z34" s="470" t="n">
        <f aca="false">IF(ISERROR(MATCH(A34,'liste reference'!$A$6:$A$1174,0)),IF(ISERROR(MATCH(A34,'liste reference'!$B$6:$B$1174,0)),"",(MATCH(A34,'liste reference'!$B$6:$B$1174,0))),(MATCH(A34,'liste reference'!$A$6:$A$1174,0)))</f>
        <v>460</v>
      </c>
    </row>
    <row r="35" customFormat="false" ht="12.75" hidden="false" customHeight="false" outlineLevel="0" collapsed="false">
      <c r="A35" s="489" t="s">
        <v>1701</v>
      </c>
      <c r="B35" s="490" t="n">
        <v>1</v>
      </c>
      <c r="C35" s="491"/>
      <c r="D35" s="492" t="str">
        <f aca="false">IF(ISERROR(VLOOKUP($A35,'liste reference'!$A$6:$B$1174,2,0)),IF(ISERROR(VLOOKUP($A35,'liste reference'!$B$6:$B$1174,1,0)),"",VLOOKUP($A35,'liste reference'!$B$6:$B$1174,1,0)),VLOOKUP($A35,'liste reference'!$A$6:$B$1174,2,0))</f>
        <v>Potamogeton pusillus</v>
      </c>
      <c r="E35" s="493" t="e">
        <f aca="false">IF(D35="",0,VLOOKUP(D35,D$22:D34,1,0))</f>
        <v>#N/A</v>
      </c>
      <c r="F35" s="494" t="n">
        <f aca="false">IF(AND(OR(A35="",A35="!!!!!!"),B35="",C35=""),"",IF(OR(AND(B35="",C35=""),ISERROR(C35+B35)),"!!!",($B35*$B$7+$C35*$C$7)/100))</f>
        <v>1</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9</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pusillus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1659</v>
      </c>
      <c r="R35" s="484" t="n">
        <f aca="false">IF(ISTEXT(H35),"",(B35*$B$7/100)+(C35*$C$7/100))</f>
        <v>1</v>
      </c>
      <c r="S35" s="485" t="n">
        <f aca="false">IF(OR(ISTEXT(H35),R35=0),"",IF(R35&lt;0.1,1,IF(R35&lt;1,2,IF(R35&lt;10,3,IF(R35&lt;50,4,IF(R35&gt;=50,5,""))))))</f>
        <v>3</v>
      </c>
      <c r="T35" s="485" t="n">
        <f aca="false">IF(ISERROR(S35*J35),0,S35*J35)</f>
        <v>27</v>
      </c>
      <c r="U35" s="485" t="n">
        <f aca="false">IF(ISERROR(S35*J35*K35),0,S35*J35*K35)</f>
        <v>54</v>
      </c>
      <c r="V35" s="501" t="n">
        <f aca="false">IF(ISERROR(S35*K35),0,S35*K35)</f>
        <v>6</v>
      </c>
      <c r="W35" s="502"/>
      <c r="X35" s="503"/>
      <c r="Y35" s="488" t="str">
        <f aca="false">IF(AND(ISNUMBER(F35),OR(A35="",A35="!!!!!!")),"!!!!!!",IF(A35="new.cod","NEWCOD",IF(AND((Z35=""),ISTEXT(A35),A35&lt;&gt;"!!!!!!"),A35,IF(Z35="","",INDEX('liste reference'!$A$6:$A$1174,Z35)))))</f>
        <v>POTPUS</v>
      </c>
      <c r="Z35" s="470" t="n">
        <f aca="false">IF(ISERROR(MATCH(A35,'liste reference'!$A$6:$A$1174,0)),IF(ISERROR(MATCH(A35,'liste reference'!$B$6:$B$1174,0)),"",(MATCH(A35,'liste reference'!$B$6:$B$1174,0))),(MATCH(A35,'liste reference'!$A$6:$A$1174,0)))</f>
        <v>536</v>
      </c>
    </row>
    <row r="36" customFormat="false" ht="12.75" hidden="false" customHeight="false" outlineLevel="0" collapsed="false">
      <c r="A36" s="489" t="s">
        <v>1918</v>
      </c>
      <c r="B36" s="490" t="n">
        <v>7</v>
      </c>
      <c r="C36" s="491"/>
      <c r="D36" s="492" t="str">
        <f aca="false">IF(ISERROR(VLOOKUP($A36,'liste reference'!$A$6:$B$1174,2,0)),IF(ISERROR(VLOOKUP($A36,'liste reference'!$B$6:$B$1174,1,0)),"",VLOOKUP($A36,'liste reference'!$B$6:$B$1174,1,0)),VLOOKUP($A36,'liste reference'!$A$6:$B$1174,2,0))</f>
        <v>Zannichellia palustris</v>
      </c>
      <c r="E36" s="493" t="e">
        <f aca="false">IF(D36="",0,VLOOKUP(D36,D$22:D35,1,0))</f>
        <v>#N/A</v>
      </c>
      <c r="F36" s="494" t="n">
        <f aca="false">IF(AND(OR(A36="",A36="!!!!!!"),B36="",C36=""),"",IF(OR(AND(B36="",C36=""),ISERROR(C36+B36)),"!!!",($B36*$B$7+$C36*$C$7)/100))</f>
        <v>7</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5</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Zannichellia palustris</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1681</v>
      </c>
      <c r="R36" s="484" t="n">
        <f aca="false">IF(ISTEXT(H36),"",(B36*$B$7/100)+(C36*$C$7/100))</f>
        <v>7</v>
      </c>
      <c r="S36" s="485" t="n">
        <f aca="false">IF(OR(ISTEXT(H36),R36=0),"",IF(R36&lt;0.1,1,IF(R36&lt;1,2,IF(R36&lt;10,3,IF(R36&lt;50,4,IF(R36&gt;=50,5,""))))))</f>
        <v>3</v>
      </c>
      <c r="T36" s="485" t="n">
        <f aca="false">IF(ISERROR(S36*J36),0,S36*J36)</f>
        <v>15</v>
      </c>
      <c r="U36" s="485" t="n">
        <f aca="false">IF(ISERROR(S36*J36*K36),0,S36*J36*K36)</f>
        <v>15</v>
      </c>
      <c r="V36" s="501" t="n">
        <f aca="false">IF(ISERROR(S36*K36),0,S36*K36)</f>
        <v>3</v>
      </c>
      <c r="W36" s="502"/>
      <c r="X36" s="503"/>
      <c r="Y36" s="488" t="str">
        <f aca="false">IF(AND(ISNUMBER(F36),OR(A36="",A36="!!!!!!")),"!!!!!!",IF(A36="new.cod","NEWCOD",IF(AND((Z36=""),ISTEXT(A36),A36&lt;&gt;"!!!!!!"),A36,IF(Z36="","",INDEX('liste reference'!$A$6:$A$1174,Z36)))))</f>
        <v>ZANPAL</v>
      </c>
      <c r="Z36" s="470" t="n">
        <f aca="false">IF(ISERROR(MATCH(A36,'liste reference'!$A$6:$A$1174,0)),IF(ISERROR(MATCH(A36,'liste reference'!$B$6:$B$1174,0)),"",(MATCH(A36,'liste reference'!$B$6:$B$1174,0))),(MATCH(A36,'liste reference'!$A$6:$A$1174,0)))</f>
        <v>617</v>
      </c>
    </row>
    <row r="37" customFormat="false" ht="12.75" hidden="false" customHeight="false" outlineLevel="0" collapsed="false">
      <c r="A37" s="489" t="s">
        <v>1932</v>
      </c>
      <c r="B37" s="490" t="n">
        <v>0.01</v>
      </c>
      <c r="C37" s="491"/>
      <c r="D37" s="492" t="str">
        <f aca="false">IF(ISERROR(VLOOKUP($A37,'liste reference'!$A$6:$B$1174,2,0)),IF(ISERROR(VLOOKUP($A37,'liste reference'!$B$6:$B$1174,1,0)),"",VLOOKUP($A37,'liste reference'!$B$6:$B$1174,1,0)),VLOOKUP($A37,'liste reference'!$A$6:$B$1174,2,0))</f>
        <v>Agrostis stolonifera</v>
      </c>
      <c r="E37" s="493" t="e">
        <f aca="false">IF(D37="",0,VLOOKUP(D37,D$22:D36,1,0))</f>
        <v>#N/A</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Agrostis stolonifera</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1543</v>
      </c>
      <c r="R37" s="484" t="n">
        <f aca="false">IF(ISTEXT(H37),"",(B37*$B$7/100)+(C37*$C$7/100))</f>
        <v>0.01</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AGRSTO</v>
      </c>
      <c r="Z37" s="470" t="n">
        <f aca="false">IF(ISERROR(MATCH(A37,'liste reference'!$A$6:$A$1174,0)),IF(ISERROR(MATCH(A37,'liste reference'!$B$6:$B$1174,0)),"",(MATCH(A37,'liste reference'!$B$6:$B$1174,0))),(MATCH(A37,'liste reference'!$A$6:$A$1174,0)))</f>
        <v>623</v>
      </c>
    </row>
    <row r="38" customFormat="false" ht="12.75" hidden="false" customHeight="false" outlineLevel="0" collapsed="false">
      <c r="A38" s="489" t="s">
        <v>1943</v>
      </c>
      <c r="B38" s="490" t="n">
        <v>0.005</v>
      </c>
      <c r="C38" s="491"/>
      <c r="D38" s="492" t="str">
        <f aca="false">IF(ISERROR(VLOOKUP($A38,'liste reference'!$A$6:$B$1174,2,0)),IF(ISERROR(VLOOKUP($A38,'liste reference'!$B$6:$B$1174,1,0)),"",VLOOKUP($A38,'liste reference'!$B$6:$B$1174,1,0)),VLOOKUP($A38,'liste reference'!$A$6:$B$1174,2,0))</f>
        <v>Bolboschoenus maritimus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Bolboschoenus maritimus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19533</v>
      </c>
      <c r="R38" s="484" t="n">
        <f aca="false">IF(ISTEXT(H38),"",(B38*$B$7/100)+(C38*$C$7/100))</f>
        <v>0.005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BOLMAR</v>
      </c>
      <c r="Z38" s="470" t="n">
        <f aca="false">IF(ISERROR(MATCH(A38,'liste reference'!$A$6:$A$1174,0)),IF(ISERROR(MATCH(A38,'liste reference'!$B$6:$B$1174,0)),"",(MATCH(A38,'liste reference'!$B$6:$B$1174,0))),(MATCH(A38,'liste reference'!$A$6:$A$1174,0)))</f>
        <v>626</v>
      </c>
    </row>
    <row r="39" customFormat="false" ht="12.75" hidden="false" customHeight="false" outlineLevel="0" collapsed="false">
      <c r="A39" s="489" t="s">
        <v>2164</v>
      </c>
      <c r="B39" s="490" t="n">
        <v>0.005</v>
      </c>
      <c r="C39" s="491"/>
      <c r="D39" s="492" t="str">
        <f aca="false">IF(ISERROR(VLOOKUP($A39,'liste reference'!$A$6:$B$1174,2,0)),IF(ISERROR(VLOOKUP($A39,'liste reference'!$B$6:$B$1174,1,0)),"",VLOOKUP($A39,'liste reference'!$B$6:$B$1174,1,0)),VLOOKUP($A39,'liste reference'!$A$6:$B$1174,2,0))</f>
        <v>Nasturtium officinale</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11</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Nasturtium officinale</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1763</v>
      </c>
      <c r="R39" s="484" t="n">
        <f aca="false">IF(ISTEXT(H39),"",(B39*$B$7/100)+(C39*$C$7/100))</f>
        <v>0.005</v>
      </c>
      <c r="S39" s="485" t="n">
        <f aca="false">IF(OR(ISTEXT(H39),R39=0),"",IF(R39&lt;0.1,1,IF(R39&lt;1,2,IF(R39&lt;10,3,IF(R39&lt;50,4,IF(R39&gt;=50,5,""))))))</f>
        <v>1</v>
      </c>
      <c r="T39" s="485" t="n">
        <f aca="false">IF(ISERROR(S39*J39),0,S39*J39)</f>
        <v>11</v>
      </c>
      <c r="U39" s="485" t="n">
        <f aca="false">IF(ISERROR(S39*J39*K39),0,S39*J39*K39)</f>
        <v>11</v>
      </c>
      <c r="V39" s="501" t="n">
        <f aca="false">IF(ISERROR(S39*K39),0,S39*K39)</f>
        <v>1</v>
      </c>
      <c r="W39" s="502"/>
      <c r="X39" s="503"/>
      <c r="Y39" s="488" t="str">
        <f aca="false">IF(AND(ISNUMBER(F39),OR(A39="",A39="!!!!!!")),"!!!!!!",IF(A39="new.cod","NEWCOD",IF(AND((Z39=""),ISTEXT(A39),A39&lt;&gt;"!!!!!!"),A39,IF(Z39="","",INDEX('liste reference'!$A$6:$A$1174,Z39)))))</f>
        <v>NASOFF</v>
      </c>
      <c r="Z39" s="470" t="n">
        <f aca="false">IF(ISERROR(MATCH(A39,'liste reference'!$A$6:$A$1174,0)),IF(ISERROR(MATCH(A39,'liste reference'!$B$6:$B$1174,0)),"",(MATCH(A39,'liste reference'!$B$6:$B$1174,0))),(MATCH(A39,'liste reference'!$A$6:$A$1174,0)))</f>
        <v>704</v>
      </c>
    </row>
    <row r="40" customFormat="false" ht="12.75" hidden="false" customHeight="false" outlineLevel="0" collapsed="false">
      <c r="A40" s="489" t="s">
        <v>2260</v>
      </c>
      <c r="B40" s="490" t="n">
        <v>0.01</v>
      </c>
      <c r="C40" s="491"/>
      <c r="D40" s="492" t="str">
        <f aca="false">IF(ISERROR(VLOOKUP($A40,'liste reference'!$A$6:$B$1174,2,0)),IF(ISERROR(VLOOKUP($A40,'liste reference'!$B$6:$B$1174,1,0)),"",VLOOKUP($A40,'liste reference'!$B$6:$B$1174,1,0)),VLOOKUP($A40,'liste reference'!$A$6:$B$1174,2,0))</f>
        <v>Veronica anagallis-aquatica</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1955</v>
      </c>
      <c r="R40" s="484" t="n">
        <f aca="false">IF(ISTEXT(H40),"",(B40*$B$7/100)+(C40*$C$7/100))</f>
        <v>0.01</v>
      </c>
      <c r="S40" s="485" t="n">
        <f aca="false">IF(OR(ISTEXT(H40),R40=0),"",IF(R40&lt;0.1,1,IF(R40&lt;1,2,IF(R40&lt;10,3,IF(R40&lt;50,4,IF(R40&gt;=50,5,""))))))</f>
        <v>1</v>
      </c>
      <c r="T40" s="485" t="n">
        <f aca="false">IF(ISERROR(S40*J40),0,S40*J40)</f>
        <v>11</v>
      </c>
      <c r="U40" s="485" t="n">
        <f aca="false">IF(ISERROR(S40*J40*K40),0,S40*J40*K40)</f>
        <v>22</v>
      </c>
      <c r="V40" s="501" t="n">
        <f aca="false">IF(ISERROR(S40*K40),0,S40*K40)</f>
        <v>2</v>
      </c>
      <c r="W40" s="502"/>
      <c r="X40" s="503"/>
      <c r="Y40" s="488" t="str">
        <f aca="false">IF(AND(ISNUMBER(F40),OR(A40="",A40="!!!!!!")),"!!!!!!",IF(A40="new.cod","NEWCOD",IF(AND((Z40=""),ISTEXT(A40),A40&lt;&gt;"!!!!!!"),A40,IF(Z40="","",INDEX('liste reference'!$A$6:$A$1174,Z40)))))</f>
        <v>VERANA</v>
      </c>
      <c r="Z40" s="470" t="n">
        <f aca="false">IF(ISERROR(MATCH(A40,'liste reference'!$A$6:$A$1174,0)),IF(ISERROR(MATCH(A40,'liste reference'!$B$6:$B$1174,0)),"",(MATCH(A40,'liste reference'!$B$6:$B$1174,0))),(MATCH(A40,'liste reference'!$A$6:$A$1174,0)))</f>
        <v>740</v>
      </c>
    </row>
    <row r="41" customFormat="false" ht="12.75" hidden="false" customHeight="false" outlineLevel="0" collapsed="false">
      <c r="A41" s="489" t="s">
        <v>2345</v>
      </c>
      <c r="B41" s="490" t="n">
        <v>0.005</v>
      </c>
      <c r="C41" s="491"/>
      <c r="D41" s="492" t="str">
        <f aca="false">IF(ISERROR(VLOOKUP($A41,'liste reference'!$A$6:$B$1174,2,0)),IF(ISERROR(VLOOKUP($A41,'liste reference'!$B$6:$B$1174,1,0)),"",VLOOKUP($A41,'liste reference'!$B$6:$B$1174,1,0)),VLOOKUP($A41,'liste reference'!$A$6:$B$1174,2,0))</f>
        <v>Bidens frondosa</v>
      </c>
      <c r="E41" s="493" t="e">
        <f aca="false">IF(D41="",0,VLOOKUP(D41,D$22:D40,1,0))</f>
        <v>#N/A</v>
      </c>
      <c r="F41" s="494" t="n">
        <f aca="false">IF(AND(OR(A41="",A41="!!!!!!"),B41="",C41=""),"",IF(OR(AND(B41="",C41=""),ISERROR(C41+B41)),"!!!",($B41*$B$7+$C41*$C$7)/100))</f>
        <v>0.005</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Bidens frondosa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1727</v>
      </c>
      <c r="R41" s="484" t="n">
        <f aca="false">IF(ISTEXT(H41),"",(B41*$B$7/100)+(C41*$C$7/100))</f>
        <v>0.005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BIDFRO</v>
      </c>
      <c r="Z41" s="470" t="n">
        <f aca="false">IF(ISERROR(MATCH(A41,'liste reference'!$A$6:$A$1174,0)),IF(ISERROR(MATCH(A41,'liste reference'!$B$6:$B$1174,0)),"",(MATCH(A41,'liste reference'!$B$6:$B$1174,0))),(MATCH(A41,'liste reference'!$A$6:$A$1174,0)))</f>
        <v>771</v>
      </c>
    </row>
    <row r="42" customFormat="false" ht="12.75" hidden="false" customHeight="false" outlineLevel="0" collapsed="false">
      <c r="A42" s="489" t="s">
        <v>2611</v>
      </c>
      <c r="B42" s="490" t="n">
        <v>0.01</v>
      </c>
      <c r="C42" s="491"/>
      <c r="D42" s="492" t="str">
        <f aca="false">IF(ISERROR(VLOOKUP($A42,'liste reference'!$A$6:$B$1174,2,0)),IF(ISERROR(VLOOKUP($A42,'liste reference'!$B$6:$B$1174,1,0)),"",VLOOKUP($A42,'liste reference'!$B$6:$B$1174,1,0)),VLOOKUP($A42,'liste reference'!$A$6:$B$1174,2,0))</f>
        <v>Juncus articulatus</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Juncus articulatus</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1609</v>
      </c>
      <c r="R42" s="484" t="n">
        <f aca="false">IF(ISTEXT(H42),"",(B42*$B$7/100)+(C42*$C$7/100))</f>
        <v>0.01</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JUNART</v>
      </c>
      <c r="Z42" s="470" t="n">
        <f aca="false">IF(ISERROR(MATCH(A42,'liste reference'!$A$6:$A$1174,0)),IF(ISERROR(MATCH(A42,'liste reference'!$B$6:$B$1174,0)),"",(MATCH(A42,'liste reference'!$B$6:$B$1174,0))),(MATCH(A42,'liste reference'!$A$6:$A$1174,0)))</f>
        <v>873</v>
      </c>
    </row>
    <row r="43" customFormat="false" ht="12.75" hidden="false" customHeight="false" outlineLevel="0" collapsed="false">
      <c r="A43" s="489" t="s">
        <v>2699</v>
      </c>
      <c r="B43" s="490" t="n">
        <v>0.005</v>
      </c>
      <c r="C43" s="491"/>
      <c r="D43" s="492" t="str">
        <f aca="false">IF(ISERROR(VLOOKUP($A43,'liste reference'!$A$6:$B$1174,2,0)),IF(ISERROR(VLOOKUP($A43,'liste reference'!$B$6:$B$1174,1,0)),"",VLOOKUP($A43,'liste reference'!$B$6:$B$1174,1,0)),VLOOKUP($A43,'liste reference'!$A$6:$B$1174,2,0))</f>
        <v>Lythrum salicaria</v>
      </c>
      <c r="E43" s="493" t="e">
        <f aca="false">IF(D43="",0,VLOOKUP(D43,D$22:D42,1,0))</f>
        <v>#N/A</v>
      </c>
      <c r="F43" s="494" t="n">
        <f aca="false">IF(AND(OR(A43="",A43="!!!!!!"),B43="",C43=""),"",IF(OR(AND(B43="",C43=""),ISERROR(C43+B43)),"!!!",($B43*$B$7+$C43*$C$7)/100))</f>
        <v>0.005</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Lythrum salicaria</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1823</v>
      </c>
      <c r="R43" s="484" t="n">
        <f aca="false">IF(ISTEXT(H43),"",(B43*$B$7/100)+(C43*$C$7/100))</f>
        <v>0.005</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LYTSAL</v>
      </c>
      <c r="Z43" s="470" t="n">
        <f aca="false">IF(ISERROR(MATCH(A43,'liste reference'!$A$6:$A$1174,0)),IF(ISERROR(MATCH(A43,'liste reference'!$B$6:$B$1174,0)),"",(MATCH(A43,'liste reference'!$B$6:$B$1174,0))),(MATCH(A43,'liste reference'!$A$6:$A$1174,0)))</f>
        <v>902</v>
      </c>
    </row>
    <row r="44" customFormat="false" ht="12.75" hidden="false" customHeight="false" outlineLevel="0" collapsed="false">
      <c r="A44" s="489" t="s">
        <v>2777</v>
      </c>
      <c r="B44" s="490" t="n">
        <v>0.01</v>
      </c>
      <c r="C44" s="491"/>
      <c r="D44" s="492" t="str">
        <f aca="false">IF(ISERROR(VLOOKUP($A44,'liste reference'!$A$6:$B$1174,2,0)),IF(ISERROR(VLOOKUP($A44,'liste reference'!$B$6:$B$1174,1,0)),"",VLOOKUP($A44,'liste reference'!$B$6:$B$1174,1,0)),VLOOKUP($A44,'liste reference'!$A$6:$B$1174,2,0))</f>
        <v>Persicaria maculosa</v>
      </c>
      <c r="E44" s="493" t="e">
        <f aca="false">IF(D44="",0,VLOOKUP(D44,D$22:D43,1,0))</f>
        <v>#N/A</v>
      </c>
      <c r="F44" s="494" t="n">
        <f aca="false">IF(AND(OR(A44="",A44="!!!!!!"),B44="",C44=""),"",IF(OR(AND(B44="",C44=""),ISERROR(C44+B44)),"!!!",($B44*$B$7+$C44*$C$7)/100))</f>
        <v>0.01</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Persicaria maculosa</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30056</v>
      </c>
      <c r="R44" s="484" t="n">
        <f aca="false">IF(ISTEXT(H44),"",(B44*$B$7/100)+(C44*$C$7/100))</f>
        <v>0.01</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PERMAC</v>
      </c>
      <c r="Z44" s="470" t="n">
        <f aca="false">IF(ISERROR(MATCH(A44,'liste reference'!$A$6:$A$1174,0)),IF(ISERROR(MATCH(A44,'liste reference'!$B$6:$B$1174,0)),"",(MATCH(A44,'liste reference'!$B$6:$B$1174,0))),(MATCH(A44,'liste reference'!$A$6:$A$1174,0)))</f>
        <v>927</v>
      </c>
    </row>
    <row r="45" customFormat="false" ht="12.75" hidden="false" customHeight="false" outlineLevel="0" collapsed="false">
      <c r="A45" s="489" t="s">
        <v>3098</v>
      </c>
      <c r="B45" s="490" t="n">
        <v>0.005</v>
      </c>
      <c r="C45" s="491"/>
      <c r="D45" s="492" t="str">
        <f aca="false">IF(ISERROR(VLOOKUP($A45,'liste reference'!$A$6:$B$1174,2,0)),IF(ISERROR(VLOOKUP($A45,'liste reference'!$B$6:$B$1174,1,0)),"",VLOOKUP($A45,'liste reference'!$B$6:$B$1174,1,0)),VLOOKUP($A45,'liste reference'!$A$6:$B$1174,2,0))</f>
        <v>Echinochloa crus-galli</v>
      </c>
      <c r="E45" s="493" t="e">
        <f aca="false">IF(D45="",0,VLOOKUP(D45,D$22:D44,1,0))</f>
        <v>#N/A</v>
      </c>
      <c r="F45" s="494" t="n">
        <f aca="false">IF(AND(OR(A45="",A45="!!!!!!"),B45="",C45=""),"",IF(OR(AND(B45="",C45=""),ISERROR(C45+B45)),"!!!",($B45*$B$7+$C45*$C$7)/100))</f>
        <v>0.005</v>
      </c>
      <c r="G45" s="495" t="str">
        <f aca="false">IF(A45="","",IF(ISERROR(VLOOKUP($A45,'liste reference'!$A$6:$Q$1174,9,0)),IF(ISERROR(VLOOKUP($A45,'liste reference'!$B$6:$Q$1174,8,0)),"    -",VLOOKUP($A45,'liste reference'!$B$6:$Q$1174,8,0)),VLOOKUP($A45,'liste reference'!$A$6:$Q$1174,9,0)))</f>
        <v>PHx</v>
      </c>
      <c r="H45" s="496" t="n">
        <f aca="false">IF(A45="","x",IF(ISERROR(VLOOKUP($A45,'liste reference'!$A$6:$Q$1174,10,0)),IF(ISERROR(VLOOKUP($A45,'liste reference'!$B$6:$Q$1174,9,0)),"x",VLOOKUP($A45,'liste reference'!$B$6:$Q$1174,9,0)),VLOOKUP($A45,'liste reference'!$A$6:$Q$1174,10,0)))</f>
        <v>10</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Echinochloa crus-galli</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1560</v>
      </c>
      <c r="R45" s="484" t="n">
        <f aca="false">IF(ISTEXT(H45),"",(B45*$B$7/100)+(C45*$C$7/100))</f>
        <v>0.005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ECHCRU</v>
      </c>
      <c r="Z45" s="470" t="n">
        <f aca="false">IF(ISERROR(MATCH(A45,'liste reference'!$A$6:$A$1174,0)),IF(ISERROR(MATCH(A45,'liste reference'!$B$6:$B$1174,0)),"",(MATCH(A45,'liste reference'!$B$6:$B$1174,0))),(MATCH(A45,'liste reference'!$A$6:$A$1174,0)))</f>
        <v>1058</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23.235</v>
      </c>
      <c r="G83" s="424"/>
      <c r="H83" s="424"/>
      <c r="I83" s="424"/>
      <c r="J83" s="424"/>
      <c r="K83" s="424"/>
      <c r="L83" s="424"/>
      <c r="M83" s="485"/>
      <c r="N83" s="485"/>
      <c r="O83" s="485"/>
      <c r="P83" s="485"/>
      <c r="Q83" s="485"/>
      <c r="R83" s="485"/>
      <c r="S83" s="485"/>
      <c r="T83" s="485"/>
      <c r="U83" s="485"/>
      <c r="V83" s="485" t="n">
        <f aca="false">SUM(V23:V82)</f>
        <v>46</v>
      </c>
      <c r="W83" s="485"/>
      <c r="X83" s="523"/>
      <c r="Y83" s="523"/>
      <c r="Z83" s="524"/>
    </row>
    <row r="84" customFormat="false" ht="12.75" hidden="true" customHeight="false" outlineLevel="0" collapsed="false">
      <c r="A84" s="518" t="str">
        <f aca="false">A3</f>
        <v>DURANCE</v>
      </c>
      <c r="B84" s="453" t="str">
        <f aca="false">C3</f>
        <v>DURANCE A LES-MEES</v>
      </c>
      <c r="C84" s="525" t="str">
        <f aca="false">A4</f>
        <v>(Date)</v>
      </c>
      <c r="D84" s="526" t="n">
        <f aca="false">IF(OR(ISERROR(SUM($U$23:$U$82)/SUM($V$23:$V$82)),F7&lt;&gt;100),-1,SUM($U$23:$U$82)/SUM($V$23:$V$82))</f>
        <v>10.8260869565217</v>
      </c>
      <c r="E84" s="527" t="n">
        <f aca="false">O13</f>
        <v>23</v>
      </c>
      <c r="F84" s="453" t="n">
        <f aca="false">O14</f>
        <v>15</v>
      </c>
      <c r="G84" s="453" t="n">
        <f aca="false">O15</f>
        <v>7</v>
      </c>
      <c r="H84" s="453" t="n">
        <f aca="false">O16</f>
        <v>7</v>
      </c>
      <c r="I84" s="453" t="n">
        <f aca="false">O17</f>
        <v>1</v>
      </c>
      <c r="J84" s="528" t="n">
        <f aca="false">O8</f>
        <v>10.5333333333333</v>
      </c>
      <c r="K84" s="529" t="n">
        <f aca="false">O9</f>
        <v>2.7292652653945</v>
      </c>
      <c r="L84" s="530" t="n">
        <f aca="false">O10</f>
        <v>5</v>
      </c>
      <c r="M84" s="530" t="n">
        <f aca="false">O11</f>
        <v>16</v>
      </c>
      <c r="N84" s="529" t="n">
        <f aca="false">P8</f>
        <v>1.6</v>
      </c>
      <c r="O84" s="529" t="n">
        <f aca="false">P9</f>
        <v>0.611010092660779</v>
      </c>
      <c r="P84" s="530" t="n">
        <f aca="false">P10</f>
        <v>1</v>
      </c>
      <c r="Q84" s="530" t="n">
        <f aca="false">P11</f>
        <v>3</v>
      </c>
      <c r="R84" s="530" t="n">
        <f aca="false">F21</f>
        <v>23.235</v>
      </c>
      <c r="S84" s="530" t="n">
        <f aca="false">L11</f>
        <v>0</v>
      </c>
      <c r="T84" s="530" t="n">
        <f aca="false">L12</f>
        <v>8</v>
      </c>
      <c r="U84" s="530" t="n">
        <f aca="false">L13</f>
        <v>0</v>
      </c>
      <c r="V84" s="531" t="n">
        <f aca="false">L15</f>
        <v>14</v>
      </c>
      <c r="W84" s="532" t="n">
        <f aca="false">L15</f>
        <v>14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39</v>
      </c>
      <c r="U87" s="281"/>
      <c r="V87" s="281"/>
    </row>
    <row r="88" customFormat="false" ht="12.75" hidden="true" customHeight="false" outlineLevel="0" collapsed="false">
      <c r="C88" s="534"/>
      <c r="D88" s="534"/>
      <c r="E88" s="534"/>
      <c r="R88" s="281" t="s">
        <v>3450</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3451</v>
      </c>
      <c r="S89" s="281"/>
      <c r="T89" s="536" t="n">
        <f aca="false">MAX($V$23:$V$82)</f>
        <v>9</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10.2972972972973</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3454</v>
      </c>
      <c r="S92" s="281"/>
      <c r="T92" s="281" t="n">
        <f aca="false">MATCH(T89,$V$23:$V$82,0)</f>
        <v>8</v>
      </c>
      <c r="U92" s="281"/>
    </row>
    <row r="93" customFormat="false" ht="12.75" hidden="true" customHeight="false" outlineLevel="0" collapsed="false">
      <c r="C93" s="534"/>
      <c r="D93" s="534"/>
      <c r="E93" s="534"/>
      <c r="R93" s="485" t="s">
        <v>3455</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2018-03-19T15:44:29Z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