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59385 ASSE" sheetId="6" state="visible" r:id="rId8"/>
    <sheet name="modele" sheetId="7" state="hidden" r:id="rId9"/>
    <sheet name="liste codes réf" sheetId="8" state="hidden" r:id="rId10"/>
  </sheets>
  <definedNames>
    <definedName function="false" hidden="false" localSheetId="5" name="_xlnm.Print_Area" vbProcedure="false">'06159385 ASSE'!$A$1:$O$82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'06159385 ASSE'!$A$23:$J$84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<sst xmlns="http://schemas.openxmlformats.org/spreadsheetml/2006/main" count="7344" uniqueCount="2724">
  <si>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</si>
  <si>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</si>
  <si>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</si>
  <si>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</si>
  <si>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</si>
  <si>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</si>
  <si>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</si>
  <si>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</si>
  <si>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</si>
  <si>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</si>
  <si>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</si>
  <si>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</si>
  <si>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</si>
  <si>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</si>
  <si>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</si>
  <si>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</si>
  <si>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</si>
  <si>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</si>
  <si>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</si>
  <si>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</si>
  <si>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</si>
  <si>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</si>
  <si>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</si>
  <si>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</si>
  <si>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</si>
  <si>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</si>
  <si>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</si>
  <si>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</si>
  <si>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</si>
  <si>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</si>
  <si>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</si>
  <si>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</si>
  <si>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</si>
  <si>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</si>
  <si>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</si>
  <si>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</si>
  <si>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</si>
  <si>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</si>
  <si>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</si>
  <si>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</si>
  <si>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</si>
  <si>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</si>
  <si>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</si>
  <si>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</si>
  <si>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</si>
  <si>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</si>
  <si>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</si>
  <si>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</si>
  <si>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</si>
  <si>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</si>
  <si>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</si>
  <si>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</si>
  <si>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</si>
  <si>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</si>
  <si>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</si>
  <si>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</si>
  <si>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</si>
  <si>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</si>
  <si>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</si>
  <si>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</si>
  <si>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</si>
  <si>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</si>
  <si>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</si>
  <si>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</si>
  <si>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</si>
  <si>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</si>
  <si>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</si>
  <si>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</si>
  <si>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</si>
  <si>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</si>
  <si>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</si>
  <si>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</si>
  <si>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</si>
  <si>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</si>
  <si>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</si>
  <si>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</si>
  <si>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</si>
  <si>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</si>
  <si>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</si>
  <si>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</si>
  <si>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</si>
  <si>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</si>
  <si>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</si>
  <si>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</si>
  <si>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</si>
  <si>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</si>
  <si>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</si>
  <si>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</si>
  <si>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</si>
  <si>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</si>
  <si>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</si>
  <si>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</si>
  <si>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</si>
  <si>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</si>
  <si>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</si>
  <si>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</si>
  <si>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</si>
  <si>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</si>
  <si>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</si>
  <si>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</si>
  <si>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</si>
  <si>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</si>
  <si>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</si>
  <si>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</si>
  <si>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</si>
  <si>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</si>
  <si>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</si>
  <si>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</si>
  <si>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</si>
  <si>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</si>
  <si>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</si>
  <si>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</si>
  <si>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</si>
  <si>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</si>
  <si>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</si>
  <si>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</si>
  <si>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</si>
  <si>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</si>
  <si>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</si>
  <si>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</si>
  <si>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</si>
  <si>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</si>
  <si>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</si>
  <si>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</si>
  <si>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</si>
  <si>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</si>
  <si>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</si>
  <si>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</si>
  <si>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</si>
  <si>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</si>
  <si>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</si>
  <si>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</si>
  <si>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</si>
  <si>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</si>
  <si>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</si>
  <si>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</si>
  <si>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</si>
  <si>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</si>
  <si>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</si>
  <si>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</si>
  <si>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</si>
  <si>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</si>
  <si>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</si>
  <si>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</si>
  <si>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</si>
  <si>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</si>
  <si>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</si>
  <si>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</si>
  <si>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</si>
  <si>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</si>
  <si>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</si>
  <si>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</si>
  <si>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</si>
  <si>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</si>
  <si>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</si>
  <si>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</si>
  <si>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</si>
  <si>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</si>
  <si>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</si>
  <si>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</si>
  <si>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</si>
  <si>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</si>
  <si>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</si>
  <si>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</si>
  <si>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</si>
  <si>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</si>
  <si>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</si>
  <si>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</si>
  <si>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</si>
  <si>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</si>
  <si>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</si>
  <si>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</si>
  <si>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</si>
  <si>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</si>
  <si>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</si>
  <si>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</si>
  <si>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</si>
  <si>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</si>
  <si>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</si>
  <si>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</si>
  <si>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</si>
  <si>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</si>
  <si>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</si>
  <si>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</si>
  <si>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</si>
  <si>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</si>
  <si>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</si>
  <si>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</si>
  <si>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</si>
  <si>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</si>
  <si>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</si>
  <si>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</si>
  <si>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</si>
  <si>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</si>
  <si>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</si>
  <si>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</si>
  <si>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</si>
  <si>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</si>
  <si>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</si>
  <si>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</si>
  <si>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</si>
  <si>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</si>
  <si>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</si>
  <si>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</si>
  <si>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</si>
  <si>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</si>
  <si>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</si>
  <si>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</si>
  <si>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</si>
  <si>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</si>
  <si>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</si>
  <si>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</si>
  <si>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</si>
  <si>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</si>
  <si>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</si>
  <si>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</si>
  <si>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</si>
  <si>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</si>
  <si>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</si>
  <si>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</si>
  <si>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</si>
  <si>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</si>
  <si>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</si>
  <si>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</si>
  <si>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</si>
  <si>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</si>
  <si>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</si>
  <si>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</si>
  <si>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</si>
  <si>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</si>
  <si>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</si>
  <si>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</si>
  <si>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</si>
  <si>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</si>
  <si>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</si>
  <si>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</si>
  <si>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</si>
  <si>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</si>
  <si>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</si>
  <si>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</si>
  <si>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</si>
  <si>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</si>
  <si>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</si>
  <si>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</si>
  <si>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</si>
  <si>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</si>
  <si>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</si>
  <si>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</si>
  <si>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</si>
  <si>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</si>
  <si>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</si>
  <si>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</si>
  <si>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</si>
  <si>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</si>
  <si>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</si>
  <si>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</si>
  <si>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</si>
  <si>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</si>
  <si>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</si>
  <si>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</si>
  <si>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</si>
  <si>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</si>
  <si>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</si>
  <si>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</si>
  <si>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</si>
  <si>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</si>
  <si>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</si>
  <si>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</si>
  <si>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</si>
  <si>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</si>
  <si>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</si>
  <si>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</si>
  <si>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</si>
  <si>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</si>
  <si>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</si>
  <si>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</si>
  <si>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</si>
  <si>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</si>
  <si>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</si>
  <si>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</si>
  <si>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</si>
  <si>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</si>
  <si>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</si>
  <si>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</si>
  <si>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</si>
  <si>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</si>
  <si>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</si>
  <si>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</si>
  <si>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</si>
  <si>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</si>
  <si>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</si>
  <si>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</si>
  <si>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</si>
  <si>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</si>
  <si>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</si>
  <si>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</si>
  <si>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</si>
  <si>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</si>
  <si>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</si>
  <si>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</si>
  <si>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</si>
  <si>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</si>
  <si>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</si>
  <si>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</si>
  <si>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</si>
  <si>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</si>
  <si>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</si>
  <si>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</si>
  <si>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</si>
  <si>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</si>
  <si>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</si>
  <si>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</si>
  <si>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</si>
  <si>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</si>
  <si>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</si>
  <si>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</si>
  <si>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</si>
  <si>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</si>
  <si>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</si>
  <si>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</si>
  <si>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</si>
  <si>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</si>
  <si>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</si>
  <si>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</si>
  <si>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</si>
  <si>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</si>
  <si>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</si>
  <si>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</si>
  <si>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</si>
  <si>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</si>
  <si>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</si>
  <si>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</si>
  <si>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</si>
  <si>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</si>
  <si>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</si>
  <si>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</si>
  <si>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</si>
  <si>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</si>
  <si>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</si>
  <si>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</si>
  <si>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</si>
  <si>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</si>
  <si>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</si>
  <si>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</si>
  <si>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</si>
  <si>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</si>
  <si>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</si>
  <si>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</si>
  <si>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</si>
  <si>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</si>
  <si>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</si>
  <si>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</si>
  <si>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</si>
  <si>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</si>
  <si>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</si>
  <si>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</si>
  <si>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</si>
  <si>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</si>
  <si>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</si>
  <si>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</si>
  <si>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</si>
  <si>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</si>
  <si>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</si>
  <si>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</si>
  <si>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</si>
  <si>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</si>
  <si>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</si>
  <si>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</si>
  <si>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</si>
  <si>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</si>
  <si>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</si>
  <si>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</si>
  <si>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</si>
  <si>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</si>
  <si>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</si>
  <si>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</si>
  <si>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</si>
  <si>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</si>
  <si>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</si>
  <si>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</si>
  <si>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</si>
  <si>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</si>
  <si>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</si>
  <si>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</si>
  <si>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</si>
  <si>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</si>
  <si>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</si>
  <si>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</si>
  <si>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</si>
  <si>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</si>
  <si>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</si>
  <si>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</si>
  <si>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</si>
  <si>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</si>
  <si>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</si>
  <si>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</si>
  <si>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</si>
  <si>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</si>
  <si>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</si>
  <si>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</si>
  <si>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</si>
  <si>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</si>
  <si>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</si>
  <si>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</si>
  <si>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</si>
  <si>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</si>
  <si>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</si>
  <si>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</si>
  <si>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</si>
  <si>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</si>
  <si>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</si>
  <si>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</si>
  <si>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</si>
  <si>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</si>
  <si>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</si>
  <si>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</si>
  <si>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</si>
  <si>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</si>
  <si>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</si>
  <si>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</si>
  <si>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</si>
  <si>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</si>
  <si>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</si>
  <si>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</si>
  <si>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</si>
  <si>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</si>
  <si>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</si>
  <si>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</si>
  <si>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</si>
  <si>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</si>
  <si>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</si>
  <si>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</si>
  <si>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</si>
  <si>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</si>
  <si>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</si>
  <si>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</si>
  <si>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</si>
  <si>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</si>
  <si>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</si>
  <si>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</si>
  <si>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</si>
  <si>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</si>
  <si>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</si>
  <si>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</si>
  <si>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</si>
  <si>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</si>
  <si>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</si>
  <si>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</si>
  <si>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</si>
  <si>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</si>
  <si>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</si>
  <si>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</si>
  <si>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</si>
  <si>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</si>
  <si>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</si>
  <si>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</si>
  <si>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</si>
  <si>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</si>
  <si>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</si>
  <si>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</si>
  <si>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</si>
  <si>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</si>
  <si>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</si>
  <si>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</si>
  <si>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</si>
  <si>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</si>
  <si>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</si>
  <si>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</si>
  <si>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</si>
  <si>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</si>
  <si>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</si>
  <si>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</si>
  <si>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</si>
  <si>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</si>
  <si>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</si>
  <si>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</si>
  <si>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</si>
  <si>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</si>
  <si>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</si>
  <si>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</si>
  <si>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</si>
  <si>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</si>
  <si>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</si>
  <si>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</si>
  <si>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</si>
  <si>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</si>
  <si>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</si>
  <si>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</si>
  <si>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</si>
  <si>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</si>
  <si>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</si>
  <si>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</si>
  <si>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</si>
  <si>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</si>
  <si>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</si>
  <si>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</si>
  <si>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</si>
  <si>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</si>
  <si>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</si>
  <si>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</si>
  <si>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</si>
  <si>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</si>
  <si>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</si>
  <si>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</si>
  <si>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</si>
  <si>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</si>
  <si>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</si>
  <si>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</si>
  <si>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</si>
  <si>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</si>
  <si>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</si>
  <si>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</si>
  <si>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</si>
  <si>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</si>
  <si>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</si>
  <si>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</si>
  <si>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</si>
  <si>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</si>
  <si>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</si>
  <si>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</si>
  <si>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</si>
  <si>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</si>
  <si>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</si>
  <si>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</si>
  <si>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</si>
  <si>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</si>
  <si>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</si>
  <si>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</si>
  <si>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</si>
  <si>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</si>
  <si>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</si>
  <si>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</si>
  <si>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</si>
  <si>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</si>
  <si>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</si>
  <si>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</si>
  <si>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</si>
  <si>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</si>
  <si>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</si>
  <si>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</si>
  <si>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</si>
  <si>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</si>
  <si>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</si>
  <si>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</si>
  <si>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</si>
  <si>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</si>
  <si>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</si>
  <si>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</si>
  <si>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</si>
  <si>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</si>
  <si>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</si>
  <si>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</si>
  <si>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</si>
  <si>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</si>
  <si>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</si>
  <si>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</si>
  <si>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</si>
  <si>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</si>
  <si>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</si>
  <si>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</si>
  <si>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</si>
  <si>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</si>
  <si>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</si>
  <si>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</si>
  <si>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</si>
  <si>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</si>
  <si>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</si>
  <si>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</si>
  <si>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</si>
  <si>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</si>
  <si>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</si>
  <si>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</si>
  <si>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</si>
  <si>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</si>
  <si>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</si>
  <si>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</si>
  <si>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</si>
  <si>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</si>
  <si>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</si>
  <si>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</si>
  <si>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</si>
  <si>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</si>
  <si>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</si>
  <si>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</si>
  <si>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</si>
  <si>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</si>
  <si>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</si>
  <si>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</si>
  <si>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</si>
  <si>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</si>
  <si>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</si>
  <si>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</si>
  <si>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</si>
  <si>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</si>
  <si>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</si>
  <si>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</si>
  <si>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</si>
  <si>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</si>
  <si>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</si>
  <si>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</si>
  <si>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</si>
  <si>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</si>
  <si>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</si>
  <si>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</si>
  <si>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</si>
  <si>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</si>
  <si>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</si>
  <si>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</si>
  <si>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</si>
  <si>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</si>
  <si>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</si>
  <si>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</si>
  <si>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</si>
  <si>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</si>
  <si>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</si>
  <si>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</si>
  <si>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</si>
  <si>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</si>
  <si>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</si>
  <si>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</si>
  <si>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</si>
  <si>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</si>
  <si>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</si>
  <si>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</si>
  <si>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</si>
  <si>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</si>
  <si>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</si>
  <si>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</si>
  <si>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</si>
  <si>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</si>
  <si>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</si>
  <si>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</si>
  <si>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</si>
  <si>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</si>
  <si>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</si>
  <si>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</si>
  <si>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</si>
  <si>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</si>
  <si>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</si>
  <si>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</si>
  <si>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</si>
  <si>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</si>
  <si>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</si>
  <si>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</si>
  <si>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</si>
  <si>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</si>
  <si>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</si>
  <si>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</si>
  <si>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</si>
  <si>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</si>
  <si>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</si>
  <si>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</si>
  <si>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</si>
  <si>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</si>
  <si>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</si>
  <si>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</si>
  <si>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</si>
  <si>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</si>
  <si>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</si>
  <si>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</si>
  <si>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</si>
  <si>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</si>
  <si>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</si>
  <si>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</si>
  <si>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</si>
  <si>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</si>
  <si>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</si>
  <si>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</si>
  <si>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</si>
  <si>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</si>
  <si>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</si>
  <si>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</si>
  <si>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</si>
  <si>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</si>
  <si>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</si>
  <si>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</si>
  <si>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</si>
  <si>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</si>
  <si>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</si>
  <si>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</si>
  <si>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</si>
  <si>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</si>
  <si>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</si>
  <si>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</si>
  <si>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</si>
  <si>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</si>
  <si>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</si>
  <si>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</si>
  <si>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</si>
  <si>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</si>
  <si>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</si>
  <si>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</si>
  <si>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</si>
  <si>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</si>
  <si>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</si>
  <si>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</si>
  <si>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</si>
  <si>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</si>
  <si>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</si>
  <si>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</si>
  <si>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</si>
  <si>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</si>
  <si>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</si>
  <si>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</si>
  <si>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</si>
  <si>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</si>
  <si>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</si>
  <si>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</si>
  <si>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</si>
  <si>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</si>
  <si>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</si>
  <si>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</si>
  <si>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</si>
  <si>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</si>
  <si>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</si>
  <si>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</si>
  <si>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</si>
  <si>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</si>
  <si>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</si>
  <si>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</si>
  <si>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</si>
  <si>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</si>
  <si>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</si>
  <si>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</si>
  <si>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</si>
  <si>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</si>
  <si>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</si>
  <si>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</si>
  <si>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</si>
  <si>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</si>
  <si>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</si>
  <si>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</si>
  <si>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</si>
  <si>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</si>
  <si>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</si>
  <si>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</si>
  <si>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</si>
  <si>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</si>
  <si>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</si>
  <si>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</si>
  <si>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</si>
  <si>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</si>
  <si>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</si>
  <si>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</si>
  <si>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</si>
  <si>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</si>
  <si>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</si>
  <si>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</si>
  <si>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</si>
  <si>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</si>
  <si>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</si>
  <si>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</si>
  <si>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</si>
  <si>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</si>
  <si>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</si>
  <si>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</si>
  <si>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</si>
  <si>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</si>
  <si>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</si>
  <si>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</si>
  <si>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</si>
  <si>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</si>
  <si>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</si>
  <si>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</si>
  <si>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</si>
  <si>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</si>
  <si>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</si>
  <si>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</si>
  <si>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</si>
  <si>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</si>
  <si>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</si>
  <si>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</si>
  <si>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</si>
  <si>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</si>
  <si>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</si>
  <si>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</si>
  <si>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</si>
  <si>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</si>
  <si>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</si>
  <si>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</si>
  <si>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</si>
  <si>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</si>
  <si>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</si>
  <si>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</si>
  <si>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</si>
  <si>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</si>
  <si>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</si>
  <si>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</si>
  <si>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</si>
  <si>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</si>
  <si>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</si>
  <si>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</si>
  <si>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</si>
  <si>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</si>
  <si>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</si>
  <si>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</si>
  <si>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</si>
  <si>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</si>
  <si>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</si>
  <si>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</si>
  <si>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</si>
  <si>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</si>
  <si>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</si>
  <si>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</si>
  <si>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</si>
  <si>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</si>
  <si>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</si>
  <si>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</si>
  <si>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</si>
  <si>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</si>
  <si>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</si>
  <si>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</si>
  <si>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</si>
  <si>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</si>
  <si>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</si>
  <si>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</si>
  <si>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</si>
  <si>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</si>
  <si>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</si>
  <si>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</si>
  <si>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</si>
  <si>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</si>
  <si>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</si>
  <si>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</si>
  <si>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</si>
  <si>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</si>
  <si>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</si>
  <si>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</si>
  <si>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</si>
  <si>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</si>
  <si>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</si>
  <si>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</si>
  <si>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</si>
  <si>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</si>
  <si>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</si>
  <si>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</si>
  <si>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</si>
  <si>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</si>
  <si>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</si>
  <si>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</si>
  <si>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</si>
  <si>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</si>
  <si>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</si>
  <si>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</si>
  <si>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</si>
  <si>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</si>
  <si>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</si>
  <si>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</si>
  <si>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</si>
  <si>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</si>
  <si>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</si>
  <si>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</si>
  <si>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</si>
  <si>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</si>
  <si>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</si>
  <si>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</si>
  <si>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</si>
  <si>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</si>
  <si>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</si>
  <si>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</si>
  <si>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</si>
  <si>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</si>
  <si>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</si>
  <si>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</si>
  <si>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</si>
  <si>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</si>
  <si>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</si>
  <si>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</si>
  <si>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</si>
  <si>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</si>
  <si>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</si>
  <si>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</si>
  <si>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</si>
  <si>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</si>
  <si>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</si>
  <si>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</si>
  <si>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</si>
  <si>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</si>
  <si>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</si>
  <si>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</si>
  <si>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</si>
  <si>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</si>
  <si>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</si>
  <si>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</si>
  <si>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</si>
  <si>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</si>
  <si>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</si>
  <si>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</si>
  <si>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</si>
  <si>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</si>
  <si>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</si>
  <si>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</si>
  <si>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</si>
  <si>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</si>
  <si>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</si>
  <si>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</si>
  <si>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</si>
  <si>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</si>
  <si>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</si>
  <si>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</si>
  <si>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</si>
  <si>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</si>
  <si>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</si>
  <si>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</si>
  <si>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</si>
  <si>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</si>
  <si>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</si>
  <si>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</si>
  <si>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</si>
  <si>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</si>
  <si>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</si>
  <si>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</si>
  <si>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</si>
  <si>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</si>
  <si>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</si>
  <si>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</si>
  <si>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</si>
  <si>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</si>
  <si>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</si>
  <si>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</si>
  <si>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</si>
  <si>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</si>
  <si>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</si>
  <si>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</si>
  <si>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</si>
  <si>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</si>
  <si>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</si>
  <si>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</si>
  <si>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</si>
  <si>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</si>
  <si>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</si>
  <si>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</si>
  <si>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</si>
  <si>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</si>
  <si>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</si>
  <si>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</si>
  <si>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</si>
  <si>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</si>
  <si>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</si>
  <si>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</si>
  <si>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</si>
  <si>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</si>
  <si>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</si>
  <si>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</si>
  <si>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</si>
  <si>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</si>
  <si>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</si>
  <si>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</si>
  <si>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</si>
  <si>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</si>
  <si>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</si>
  <si>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</si>
  <si>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</si>
  <si>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</si>
  <si>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</si>
  <si>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</si>
  <si>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</si>
  <si>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</si>
  <si>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</si>
  <si>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</si>
  <si>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</si>
  <si>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</si>
  <si>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</si>
  <si>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</si>
  <si>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</si>
  <si>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</si>
  <si>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</si>
  <si>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</si>
  <si>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</si>
  <si>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</si>
  <si>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</si>
  <si>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</si>
  <si>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</si>
  <si>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</si>
  <si>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</si>
  <si>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</si>
  <si>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</si>
  <si>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</si>
  <si>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</si>
  <si>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</si>
  <si>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</si>
  <si>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</si>
  <si>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</si>
  <si>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</si>
  <si>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</si>
  <si>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</si>
  <si>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</si>
  <si>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</si>
  <si>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</si>
  <si>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</si>
  <si>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</si>
  <si>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</si>
  <si>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</si>
  <si>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</si>
  <si>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</si>
  <si>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</si>
  <si>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</si>
  <si>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</si>
  <si>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</si>
  <si>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</si>
  <si>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</si>
  <si>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</si>
  <si>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</si>
  <si>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</si>
  <si>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</si>
  <si>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</si>
  <si>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</si>
  <si>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</si>
  <si>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</si>
  <si>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</si>
  <si>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</si>
  <si>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</si>
  <si>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</si>
  <si>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</si>
  <si>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</si>
  <si>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</si>
  <si>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</si>
  <si>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</si>
  <si>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</si>
  <si>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</si>
  <si>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</si>
  <si>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</si>
  <si>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</si>
  <si>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</si>
  <si>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</si>
  <si>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</si>
  <si>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</si>
  <si>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</si>
  <si>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</si>
  <si>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</si>
  <si>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</si>
  <si>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</si>
  <si>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</si>
  <si>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</si>
  <si>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</si>
  <si>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</si>
  <si>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</si>
  <si>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</si>
  <si>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</si>
  <si>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</si>
  <si>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</si>
  <si>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</si>
  <si>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</si>
  <si>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</si>
  <si>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</si>
  <si>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</si>
  <si>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</si>
  <si>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</si>
  <si>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</si>
  <si>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</si>
  <si>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</si>
  <si>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</si>
  <si>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</si>
  <si>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</si>
  <si>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</si>
  <si>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</si>
  <si>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</si>
  <si>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</si>
  <si>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</si>
  <si>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</si>
  <si>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</si>
  <si>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</si>
  <si>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</si>
  <si>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</si>
  <si>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</si>
  <si>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</si>
  <si>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</si>
  <si>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</si>
  <si>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</si>
  <si>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</si>
  <si>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</si>
  <si>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</si>
  <si>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</si>
  <si>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</si>
  <si>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</si>
  <si>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</si>
  <si>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</si>
  <si>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</si>
  <si>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</si>
  <si>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</si>
  <si>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</si>
  <si>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</si>
  <si>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</si>
  <si>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</si>
  <si>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</si>
  <si>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</si>
  <si>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</si>
  <si>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</si>
  <si>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</si>
  <si>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</si>
  <si>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</si>
  <si>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</si>
  <si>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</si>
  <si>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</si>
  <si>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</si>
  <si>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</si>
  <si>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</si>
  <si>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</si>
  <si>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</si>
  <si>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</si>
  <si>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</si>
  <si>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</si>
  <si>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</si>
  <si>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</si>
  <si>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</si>
  <si>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</si>
  <si>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</si>
  <si>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</si>
  <si>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</si>
  <si>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</si>
  <si>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</si>
  <si>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</si>
  <si>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</si>
  <si>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</si>
  <si>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</si>
  <si>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</si>
  <si>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</si>
  <si>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</si>
  <si>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</si>
  <si>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</si>
  <si>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</si>
  <si>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</si>
  <si>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</si>
  <si>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</si>
  <si>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</si>
  <si>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</si>
  <si>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</si>
  <si>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</si>
  <si>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</si>
  <si>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</si>
  <si>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</si>
  <si>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</si>
  <si>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</si>
  <si>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</si>
  <si>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</si>
  <si>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</si>
  <si>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</si>
  <si>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</si>
  <si>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</si>
  <si>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</si>
  <si>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</si>
  <si>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</si>
  <si>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</si>
  <si>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</si>
  <si>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</si>
  <si>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</si>
  <si>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</si>
  <si>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</si>
  <si>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</si>
  <si>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</si>
  <si>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</si>
  <si>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</si>
  <si>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</si>
  <si>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</si>
  <si>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</si>
  <si>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</si>
  <si>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</si>
  <si>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</si>
  <si>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</si>
  <si>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</si>
  <si>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</si>
  <si>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</si>
  <si>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</si>
  <si>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</si>
  <si>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</si>
  <si>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</si>
  <si>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</si>
  <si>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</si>
  <si>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</si>
  <si>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</si>
  <si>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</si>
  <si>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</si>
  <si>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</si>
  <si>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</si>
  <si>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</si>
  <si>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</si>
  <si>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</si>
  <si>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</si>
  <si>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</si>
  <si>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</si>
  <si>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</si>
  <si>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</si>
  <si>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</si>
  <si>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</si>
  <si>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</si>
  <si>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</si>
  <si>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</si>
  <si>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</si>
  <si>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</si>
  <si>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</si>
  <si>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</si>
  <si>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</si>
  <si>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</si>
  <si>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</si>
  <si>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</si>
  <si>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</si>
  <si>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</si>
  <si>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</si>
  <si>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</si>
  <si>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</si>
  <si>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</si>
  <si>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</si>
  <si>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</si>
  <si>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</si>
  <si>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</si>
  <si>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</si>
  <si>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</si>
  <si>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</si>
  <si>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</si>
  <si>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</si>
  <si>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</si>
  <si>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</si>
  <si>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</si>
  <si>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</si>
  <si>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</si>
  <si>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</si>
  <si>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</si>
  <si>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</si>
  <si>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</si>
  <si>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</si>
  <si>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</si>
  <si>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</si>
  <si>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</si>
  <si>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</si>
  <si>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</si>
  <si>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</si>
  <si>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</si>
  <si>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</si>
  <si>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</si>
  <si>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</si>
  <si>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</si>
  <si>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</si>
  <si>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</si>
  <si>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</si>
  <si>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</si>
  <si>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</si>
  <si>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</si>
  <si>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</si>
  <si>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</si>
  <si>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</si>
  <si>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</si>
  <si>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</si>
  <si>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</si>
  <si>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</si>
  <si>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</si>
  <si>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</si>
  <si>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</si>
  <si>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</si>
  <si>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</si>
  <si>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</si>
  <si>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</si>
  <si>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</si>
  <si>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</si>
  <si>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</si>
  <si>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</si>
  <si>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</si>
  <si>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</si>
  <si>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</si>
  <si>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</si>
  <si>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</si>
  <si>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</si>
  <si>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</si>
  <si>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</si>
  <si>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</si>
  <si>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</si>
  <si>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</si>
  <si>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</si>
  <si>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</si>
  <si>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</si>
  <si>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</si>
  <si>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</si>
  <si>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</si>
  <si>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</si>
  <si>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</si>
  <si>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</si>
  <si>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</si>
  <si>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</si>
  <si>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</si>
  <si>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</si>
  <si>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</si>
  <si>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</si>
  <si>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</si>
  <si>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</si>
  <si>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</si>
  <si>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</si>
  <si>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</si>
  <si>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</si>
  <si>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</si>
  <si>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</si>
  <si>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</si>
  <si>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</si>
  <si>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</si>
  <si>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</si>
  <si>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</si>
  <si>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</si>
  <si>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</si>
  <si>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</si>
  <si>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</si>
  <si>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</si>
  <si>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</si>
  <si>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</si>
  <si>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</si>
  <si>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</si>
  <si>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</si>
  <si>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</si>
  <si>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</si>
  <si>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</si>
  <si>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</si>
  <si>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</si>
  <si>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</si>
  <si>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</si>
  <si>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</si>
  <si>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</si>
  <si>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</si>
  <si>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</si>
  <si>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</si>
  <si>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</si>
  <si>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</si>
  <si>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</si>
  <si>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</si>
  <si>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</si>
  <si>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</si>
  <si>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</si>
  <si>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</si>
  <si>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</si>
  <si>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</si>
  <si>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</si>
  <si>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</si>
  <si>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</si>
  <si>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</si>
  <si>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</si>
  <si>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</si>
  <si>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</si>
  <si>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</si>
  <si>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</si>
  <si>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</si>
  <si>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</si>
  <si>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</si>
  <si>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</si>
  <si>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</si>
  <si>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</si>
  <si>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</si>
  <si>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</si>
  <si>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</si>
  <si>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</si>
  <si>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</si>
  <si>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</si>
  <si>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</si>
  <si>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</si>
  <si>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</si>
  <si>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</si>
  <si>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</si>
  <si>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</si>
  <si>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</si>
  <si>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</si>
  <si>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</si>
  <si>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</si>
  <si>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</si>
  <si>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</si>
  <si>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</si>
  <si>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</si>
  <si>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</si>
  <si>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</si>
  <si>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</si>
  <si>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</si>
  <si>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</si>
  <si>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</si>
  <si>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</si>
  <si>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</si>
  <si>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</si>
  <si>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</si>
  <si>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</si>
  <si>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</si>
  <si>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</si>
  <si>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</si>
  <si>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</si>
  <si>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</si>
  <si>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</si>
  <si>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</si>
  <si>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</si>
  <si>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</si>
  <si>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</si>
  <si>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</si>
  <si>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</si>
  <si>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</si>
  <si>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</si>
  <si>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</si>
  <si>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</si>
  <si>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</si>
  <si>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</si>
  <si>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</si>
  <si>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</si>
  <si>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</si>
  <si>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</si>
  <si>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</si>
  <si>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</si>
  <si>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</si>
  <si>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</si>
  <si>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</si>
  <si>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</si>
  <si>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</si>
  <si>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</si>
  <si>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</si>
  <si>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</si>
  <si>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</si>
  <si>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</si>
  <si>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</si>
  <si>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</si>
  <si>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</si>
  <si>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</si>
  <si>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</si>
  <si>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</si>
  <si>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</si>
  <si>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</si>
  <si>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</si>
  <si>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</si>
  <si>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</si>
  <si>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</si>
  <si>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</si>
  <si>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</si>
  <si>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</si>
  <si>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</si>
  <si>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</si>
  <si>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</si>
  <si>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</si>
  <si>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</si>
  <si>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</si>
  <si>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</si>
  <si>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</si>
  <si>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</si>
  <si>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</si>
  <si>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</si>
  <si>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</si>
  <si>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</si>
  <si>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</si>
  <si>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</si>
  <si>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</si>
  <si>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</si>
  <si>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</si>
  <si>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</si>
  <si>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</si>
  <si>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</si>
  <si>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</si>
  <si>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</si>
  <si>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</si>
  <si>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</si>
  <si>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</si>
  <si>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</si>
  <si>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</si>
  <si>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</si>
  <si>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</si>
  <si>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</si>
  <si>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</si>
  <si>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</si>
  <si>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</si>
  <si>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</si>
  <si>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</si>
  <si>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</si>
  <si>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</si>
  <si>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</si>
  <si>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</si>
  <si>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</si>
  <si>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</si>
  <si>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</si>
  <si>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</si>
  <si>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</si>
  <si>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</si>
  <si>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</si>
  <si>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</si>
  <si>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</si>
  <si>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</si>
  <si>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</si>
  <si>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</si>
  <si>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</si>
  <si>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</si>
  <si>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</si>
  <si>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</si>
  <si>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</si>
  <si>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</si>
  <si>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</si>
  <si>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</si>
  <si>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</si>
  <si>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</si>
  <si>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</si>
  <si>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</si>
  <si>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</si>
  <si>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</si>
  <si>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</si>
  <si>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</si>
  <si>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</si>
  <si>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</si>
  <si>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</si>
  <si>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</si>
  <si>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</si>
  <si>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</si>
  <si>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</si>
  <si>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</si>
  <si>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</si>
  <si>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</si>
  <si>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</si>
  <si>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</si>
  <si>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</si>
  <si>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</si>
  <si>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</si>
  <si>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</si>
  <si>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</si>
  <si>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</si>
  <si>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</si>
  <si>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</si>
  <si>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</si>
  <si>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</si>
  <si>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</si>
  <si>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</si>
  <si>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</si>
  <si>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</si>
  <si>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</si>
  <si>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</si>
  <si>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</si>
  <si>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</si>
  <si>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</si>
  <si>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</si>
  <si>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</si>
  <si>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</si>
  <si>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</si>
  <si>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</si>
  <si>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</si>
  <si>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</si>
  <si>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</si>
  <si>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</si>
  <si>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</si>
  <si>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</si>
  <si>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</si>
  <si>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</si>
  <si>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</si>
  <si>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</si>
  <si>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</si>
  <si>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</si>
  <si>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</si>
  <si>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</si>
  <si>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</si>
  <si>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</si>
  <si>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</si>
  <si>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</si>
  <si>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</si>
  <si>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</si>
  <si>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</si>
  <si>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</si>
  <si>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</si>
  <si>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</si>
  <si>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</si>
  <si>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</si>
  <si>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</si>
  <si>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</si>
  <si>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</si>
  <si>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</si>
  <si>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</si>
  <si>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</si>
  <si>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</si>
  <si>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</si>
  <si>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</si>
  <si>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</si>
  <si>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</si>
  <si>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</si>
  <si>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</si>
  <si>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</si>
  <si>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</si>
  <si>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</si>
  <si>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</si>
  <si>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</si>
  <si>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</si>
  <si>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</si>
  <si>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</si>
  <si>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</si>
  <si>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</si>
  <si>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</si>
  <si>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</si>
  <si>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</si>
  <si>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</si>
  <si>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</si>
  <si>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</si>
  <si>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</si>
  <si>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</si>
  <si>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</si>
  <si>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</si>
  <si>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</si>
  <si>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</si>
  <si>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</si>
  <si>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</si>
  <si>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</si>
  <si>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</si>
  <si>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</si>
  <si>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</si>
  <si>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</si>
  <si>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</si>
  <si>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</si>
  <si>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</si>
  <si>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</si>
  <si>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</si>
  <si>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</si>
  <si>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</si>
  <si>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</si>
  <si>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</si>
  <si>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</si>
  <si>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</si>
  <si>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</si>
  <si>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</si>
  <si>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</si>
  <si>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</si>
  <si>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</si>
  <si>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</si>
  <si>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</si>
  <si>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</si>
  <si>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</si>
  <si>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</si>
  <si>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</si>
  <si>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</si>
  <si>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</si>
  <si>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</si>
  <si>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</si>
  <si>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</si>
  <si>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</si>
  <si>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</si>
  <si>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</si>
  <si>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</si>
  <si>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</si>
  <si>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</si>
  <si>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</si>
  <si>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</si>
  <si>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</si>
  <si>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</si>
  <si>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</si>
  <si>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</si>
  <si>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</si>
  <si>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</si>
  <si>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</si>
  <si>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</si>
  <si>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</si>
  <si>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</si>
  <si>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</si>
  <si>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</si>
  <si>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</si>
  <si>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</si>
  <si>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</si>
  <si>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</si>
  <si>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</si>
  <si>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</si>
  <si>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</si>
  <si>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</si>
  <si>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</si>
  <si>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</si>
  <si>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</si>
  <si>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</si>
  <si>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</si>
  <si>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</si>
  <si>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</si>
  <si>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</si>
  <si>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</si>
  <si>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</si>
  <si>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</si>
  <si>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</si>
  <si>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</si>
  <si>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</si>
  <si>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</si>
  <si>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</si>
  <si>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</si>
  <si>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</si>
  <si>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</si>
  <si>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</si>
  <si>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</si>
  <si>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</si>
  <si>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</si>
  <si>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</si>
  <si>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</si>
  <si>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</si>
  <si>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</si>
  <si>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</si>
  <si>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</si>
  <si>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</si>
  <si>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</si>
  <si>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</si>
  <si>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</si>
  <si>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</si>
  <si>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</si>
  <si>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</si>
  <si>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</si>
  <si>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</si>
  <si>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</si>
  <si>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</si>
  <si>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</si>
  <si>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</si>
  <si>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</si>
  <si>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</si>
  <si>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</si>
  <si>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</si>
  <si>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</si>
  <si>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</si>
  <si>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</si>
  <si>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</si>
  <si>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</si>
  <si>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</si>
  <si>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</si>
  <si>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</si>
  <si>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</si>
  <si>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</si>
  <si>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</si>
  <si>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</si>
  <si>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</si>
  <si>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</si>
  <si>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</si>
  <si>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</si>
  <si>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</si>
  <si>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</si>
  <si>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</si>
  <si>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</si>
  <si>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</si>
  <si>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</si>
  <si>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</si>
  <si>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</si>
  <si>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</si>
  <si>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</si>
  <si>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</si>
  <si>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</si>
  <si>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</si>
  <si>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</si>
  <si>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</si>
  <si>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</si>
  <si>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</si>
  <si>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</si>
  <si>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</si>
  <si>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</si>
  <si>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</si>
  <si>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</si>
  <si>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</si>
  <si>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</si>
  <si>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</si>
  <si>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</si>
  <si>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</si>
  <si>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</si>
  <si>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</si>
  <si>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</si>
  <si>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</si>
  <si>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</si>
  <si>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</si>
  <si>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</si>
  <si>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</si>
  <si>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</si>
  <si>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</si>
  <si>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</si>
  <si>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</si>
  <si>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</si>
  <si>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</si>
  <si>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</si>
  <si>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</si>
  <si>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</si>
  <si>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</si>
  <si>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</si>
  <si>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</si>
  <si>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</si>
  <si>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</si>
  <si>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</si>
  <si>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</si>
  <si>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</si>
  <si>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</si>
  <si>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</si>
  <si>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</si>
  <si>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</si>
  <si>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</si>
  <si>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</si>
  <si>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</si>
  <si>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</si>
  <si>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</si>
  <si>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</si>
  <si>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</si>
  <si>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</si>
  <si>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</si>
  <si>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</si>
  <si>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</si>
  <si>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</si>
  <si>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</si>
  <si>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</si>
  <si>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</si>
  <si>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</si>
  <si>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</si>
  <si>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</si>
  <si>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</si>
  <si>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</si>
  <si>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</si>
  <si>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</si>
  <si>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</si>
  <si>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</si>
  <si>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</si>
  <si>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</si>
  <si>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</si>
  <si>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</si>
  <si>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</si>
  <si>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</si>
  <si>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</si>
  <si>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</si>
  <si>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</si>
  <si>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</si>
  <si>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</si>
  <si>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</si>
  <si>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</si>
  <si>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</si>
  <si>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</si>
  <si>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</si>
  <si>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</si>
  <si>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</si>
  <si>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</si>
  <si>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</si>
  <si>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</si>
  <si>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</si>
  <si>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</si>
  <si>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</si>
  <si>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</si>
  <si>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</si>
  <si>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</si>
  <si>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</si>
  <si>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</si>
  <si>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</si>
  <si>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</si>
  <si>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</si>
  <si>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</si>
  <si>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</si>
  <si>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</si>
  <si>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</si>
  <si>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</si>
  <si>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</si>
  <si>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</si>
  <si>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</si>
  <si>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</si>
  <si>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</si>
  <si>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</si>
  <si>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</si>
  <si>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</si>
  <si>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</si>
  <si>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</si>
  <si>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</si>
  <si>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</si>
  <si>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</si>
  <si>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</si>
  <si>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</si>
  <si>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</si>
  <si>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</si>
  <si>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</si>
  <si>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</si>
  <si>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</si>
  <si>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</si>
  <si>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</si>
  <si>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</si>
  <si>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</si>
  <si>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</si>
  <si>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</si>
  <si>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</si>
  <si>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</si>
  <si>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</si>
  <si>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</si>
  <si>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</si>
  <si>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</si>
  <si>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</si>
  <si>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</si>
  <si>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</si>
  <si>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</si>
  <si>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</si>
  <si>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</si>
  <si>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</si>
  <si>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</si>
  <si>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</si>
  <si>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</si>
  <si>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</si>
  <si>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</si>
  <si>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</si>
  <si>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</si>
  <si>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</si>
  <si>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</si>
  <si>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</si>
  <si>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</si>
  <si>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</si>
  <si>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</si>
  <si>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</si>
  <si>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</si>
  <si>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</si>
  <si>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</si>
  <si>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</si>
  <si>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</si>
  <si>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</si>
  <si>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</si>
  <si>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</si>
  <si>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</si>
  <si>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</si>
  <si>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</si>
  <si>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</si>
  <si>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</si>
  <si>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</si>
  <si>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</si>
  <si>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</si>
  <si>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</si>
  <si>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</si>
  <si>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</si>
  <si>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</si>
  <si>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</si>
  <si>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</si>
  <si>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</si>
  <si>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</si>
  <si>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</si>
  <si>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</si>
  <si>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</si>
  <si>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</si>
  <si>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</si>
  <si>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</si>
  <si>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</si>
  <si>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</si>
  <si>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</si>
  <si>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</si>
  <si>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</si>
  <si>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</si>
  <si>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</si>
  <si>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</si>
  <si>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</si>
  <si>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</si>
  <si>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</si>
  <si>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</si>
  <si>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</si>
  <si>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</si>
  <si>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</si>
  <si>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</si>
  <si>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</si>
  <si>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</si>
  <si>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</si>
  <si>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</si>
  <si>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</si>
  <si>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</si>
  <si>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</si>
  <si>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</si>
  <si>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</si>
  <si>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</si>
  <si>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</si>
  <si>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</si>
  <si>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</si>
  <si>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</si>
  <si>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</si>
  <si>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</si>
  <si>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</si>
  <si>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</si>
  <si>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</si>
  <si>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</si>
  <si>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</si>
  <si>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</si>
  <si>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</si>
  <si>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</si>
  <si>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</si>
  <si>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</si>
  <si>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</si>
  <si>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</si>
  <si>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</si>
  <si>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</si>
  <si>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</si>
  <si>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</si>
  <si>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</si>
  <si>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</si>
  <si>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</si>
  <si>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</si>
  <si>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</si>
  <si>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</si>
  <si>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</si>
  <si>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</si>
  <si>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</si>
  <si>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</si>
  <si>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</si>
  <si>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</si>
  <si>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</si>
  <si>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</si>
  <si>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</si>
  <si>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</si>
  <si>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</si>
  <si>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</si>
  <si>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</si>
  <si>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</si>
  <si>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</si>
  <si>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</si>
  <si>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</si>
  <si>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</si>
  <si>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</si>
  <si>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</si>
  <si>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</si>
  <si>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</si>
  <si>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</si>
  <si>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</si>
  <si>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</si>
  <si>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</si>
  <si>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</si>
  <si>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</si>
  <si>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</si>
  <si>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</si>
  <si>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</si>
  <si>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</si>
  <si>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</si>
  <si>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</si>
  <si>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</si>
  <si>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</si>
  <si>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</si>
  <si>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</si>
  <si>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</si>
  <si>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</si>
  <si>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</si>
  <si>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</si>
  <si>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</si>
  <si>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</si>
  <si>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</si>
  <si>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</si>
  <si>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</si>
  <si>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</si>
  <si>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</si>
  <si>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</si>
  <si>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</si>
  <si>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</si>
  <si>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</si>
  <si>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</si>
  <si>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</si>
  <si>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</si>
  <si>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</si>
  <si>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</si>
  <si>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</si>
  <si>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</si>
  <si>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</si>
  <si>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</si>
  <si>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</si>
  <si>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</si>
  <si>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</si>
  <si>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</si>
  <si>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</si>
  <si>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</si>
  <si>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</si>
  <si>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</si>
  <si>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</si>
  <si>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</si>
  <si>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</si>
  <si>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</si>
  <si>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</si>
  <si>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</si>
  <si>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</si>
  <si>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</si>
  <si>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</si>
  <si>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</si>
  <si>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</si>
  <si>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</si>
  <si>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</si>
  <si>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</si>
  <si>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</si>
  <si>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</si>
  <si>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</si>
  <si>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</si>
  <si>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</si>
  <si>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</si>
  <si>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</si>
  <si>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</si>
  <si>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</si>
  <si>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</si>
  <si>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</si>
  <si>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</si>
  <si>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</si>
  <si>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</si>
  <si>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</si>
  <si>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</si>
  <si>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</si>
  <si>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</si>
  <si>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</si>
  <si>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</si>
  <si>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</si>
  <si>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</si>
  <si>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</si>
  <si>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</si>
  <si>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</si>
  <si>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</si>
  <si>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</si>
  <si>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</si>
  <si>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</si>
  <si>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</si>
  <si>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</si>
  <si>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</si>
  <si>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</si>
  <si>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</si>
  <si>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</si>
  <si>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</si>
  <si>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</si>
  <si>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</si>
  <si>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</si>
  <si>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</si>
  <si>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</si>
  <si>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</si>
  <si>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</si>
  <si>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</si>
  <si>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</si>
  <si>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</si>
  <si>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</si>
  <si>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</si>
  <si>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</si>
  <si>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</si>
  <si>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</si>
  <si>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</si>
  <si>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</si>
  <si>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</si>
  <si>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</si>
  <si>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</si>
  <si>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</si>
  <si>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</si>
  <si>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</si>
  <si>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</si>
  <si>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</si>
  <si>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</si>
  <si>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</si>
  <si>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</si>
  <si>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</si>
  <si>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</si>
  <si>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</si>
  <si>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</si>
  <si>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</si>
  <si>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</si>
  <si>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</si>
  <si>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</si>
  <si>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</si>
  <si>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</si>
  <si>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</si>
  <si>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</si>
  <si>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</si>
  <si>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</si>
  <si>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</si>
  <si>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</si>
  <si>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</si>
  <si>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</si>
  <si>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</si>
  <si>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</si>
  <si>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</si>
  <si>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</si>
  <si>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</si>
  <si>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</si>
  <si>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</si>
  <si>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</si>
  <si>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</si>
  <si>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</si>
  <si>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</si>
  <si>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</si>
  <si>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</si>
  <si>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</si>
  <si>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</si>
  <si>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</si>
  <si>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</si>
  <si>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</si>
  <si>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</si>
  <si>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</si>
  <si>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</si>
  <si>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</si>
  <si>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</si>
  <si>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</si>
  <si>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</si>
  <si>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</si>
  <si>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</si>
  <si>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</si>
  <si>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</si>
  <si>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</si>
  <si>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</si>
  <si>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</si>
  <si>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</si>
  <si>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</si>
  <si>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</si>
  <si>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</si>
  <si>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</si>
  <si>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</si>
  <si>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</si>
  <si>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</si>
  <si>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</si>
  <si>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</si>
  <si>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</si>
  <si>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</si>
  <si>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</si>
  <si>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</si>
  <si>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</si>
  <si>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</si>
  <si>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</si>
  <si>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</si>
  <si>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</si>
  <si>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</si>
  <si>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</si>
  <si>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</si>
  <si>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</si>
  <si>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</si>
  <si>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</si>
  <si>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</si>
  <si>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</si>
  <si>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</si>
  <si>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</si>
  <si>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</si>
  <si>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</si>
  <si>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</si>
  <si>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</si>
  <si>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</si>
  <si>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</si>
  <si>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</si>
  <si>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</si>
  <si>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</si>
  <si>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</si>
  <si>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</si>
  <si>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</si>
  <si>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</si>
  <si>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</si>
  <si>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</si>
  <si>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</si>
  <si>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</si>
  <si>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</si>
  <si>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</si>
  <si>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</si>
  <si>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</si>
  <si>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</si>
  <si>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</si>
  <si>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</si>
  <si>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</si>
  <si>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</si>
  <si>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</si>
  <si>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</si>
  <si>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</si>
  <si>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</si>
  <si>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</si>
  <si>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</si>
  <si>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</si>
  <si>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</si>
  <si>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</si>
  <si>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</si>
  <si>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</si>
  <si>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</si>
  <si>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</si>
  <si>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</si>
  <si>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</si>
  <si>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</si>
  <si>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</si>
  <si>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</si>
  <si>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</si>
  <si>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</si>
  <si>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</si>
  <si>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</si>
  <si>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</si>
  <si>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</si>
  <si>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</si>
  <si>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</si>
  <si>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</si>
  <si>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</si>
  <si>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</si>
  <si>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</si>
  <si>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</si>
  <si>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</si>
  <si>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</si>
  <si>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</si>
  <si>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</si>
  <si>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</si>
  <si>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</si>
  <si>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</si>
  <si>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</si>
  <si>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</si>
  <si>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</si>
  <si>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</si>
  <si>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</si>
  <si>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</si>
  <si>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</si>
  <si>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</si>
  <si>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</si>
  <si>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</si>
  <si>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</si>
  <si>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</si>
  <si>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</si>
  <si>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</si>
  <si>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</si>
  <si>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</si>
  <si>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</si>
  <si>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</si>
  <si>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</si>
  <si>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</si>
  <si>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</si>
  <si>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</si>
  <si>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</si>
  <si>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</si>
  <si>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</si>
  <si>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</si>
  <si>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</si>
  <si>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</si>
  <si>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</si>
  <si>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</si>
  <si>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</si>
  <si>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</si>
  <si>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</si>
  <si>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</si>
  <si>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</si>
  <si>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</si>
  <si>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</si>
  <si>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</si>
  <si>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</si>
  <si>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</si>
  <si>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</si>
  <si>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</si>
  <si>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</si>
  <si>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</si>
  <si>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</si>
  <si>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</si>
  <si>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</si>
  <si>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</si>
  <si>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</si>
  <si>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</si>
  <si>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</si>
  <si>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</si>
  <si>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</si>
  <si>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</si>
  <si>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</si>
  <si>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</si>
  <si>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</si>
  <si>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</si>
  <si>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</si>
  <si>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</si>
  <si>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</si>
  <si>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</si>
  <si>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</si>
  <si>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</si>
  <si>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</si>
  <si>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</si>
  <si>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</si>
  <si>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</si>
  <si>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</si>
  <si>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</si>
  <si>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</si>
  <si>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</si>
  <si>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</si>
  <si>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</si>
  <si>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</si>
  <si>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</si>
  <si>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</si>
  <si>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</si>
  <si>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</si>
  <si>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</si>
  <si>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</si>
  <si>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</si>
  <si>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</si>
  <si>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</si>
  <si>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</si>
  <si>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</si>
  <si>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</si>
  <si>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</si>
  <si>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</si>
  <si>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</si>
  <si>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</si>
  <si>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</si>
  <si>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</si>
  <si>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</si>
  <si>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</si>
  <si>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</si>
  <si>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</si>
  <si>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</si>
  <si>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</si>
  <si>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</si>
  <si>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</si>
  <si>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</si>
  <si>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</si>
  <si>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</si>
  <si>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</si>
  <si>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</si>
  <si>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</si>
  <si>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</si>
  <si>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</si>
  <si>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</si>
  <si>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</si>
  <si>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</si>
  <si>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</si>
  <si>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</si>
  <si>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</si>
  <si>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</si>
  <si>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</si>
  <si>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</si>
  <si>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</si>
  <si>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</si>
  <si>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</si>
  <si>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</si>
  <si>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</si>
  <si>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</si>
  <si>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</si>
  <si>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</si>
  <si>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</si>
  <si>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</si>
  <si>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</si>
  <si>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</si>
  <si>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</si>
  <si>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</si>
  <si>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</si>
  <si>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</si>
  <si>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</si>
  <si>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</si>
  <si>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</si>
  <si>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</si>
  <si>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</si>
  <si>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</si>
  <si>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</si>
  <si>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</si>
  <si>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</si>
  <si>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</si>
  <si>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</si>
  <si>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</si>
  <si>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</si>
  <si>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</si>
  <si>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</si>
  <si>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</si>
  <si>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</si>
  <si>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</si>
  <si>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</si>
  <si>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</si>
  <si>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</si>
  <si>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</si>
  <si>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</si>
  <si>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</si>
  <si>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</si>
  <si>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</si>
  <si>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</si>
  <si>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</si>
  <si>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</si>
  <si>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</si>
  <si>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</si>
  <si>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</si>
  <si>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</si>
  <si>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</si>
  <si>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</si>
  <si>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</si>
  <si>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</si>
  <si>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</si>
  <si>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</si>
  <si>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</si>
  <si>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</si>
  <si>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</si>
  <si>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</si>
  <si>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</si>
  <si>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</si>
  <si>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</si>
  <si>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</si>
  <si>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</si>
  <si>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</si>
  <si>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</si>
  <si>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</si>
  <si>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</si>
  <si>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</si>
  <si>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</si>
  <si>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</si>
  <si>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</si>
  <si>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</si>
  <si>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</si>
  <si>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</si>
  <si>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</si>
  <si>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</si>
  <si>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</si>
  <si>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</si>
  <si>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</si>
  <si>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</si>
  <si>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</si>
  <si>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</si>
  <si>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</si>
  <si>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</si>
  <si>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</si>
  <si>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</si>
  <si>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</si>
  <si>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</si>
  <si>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</si>
  <si>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</si>
  <si>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</si>
  <si>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</si>
  <si>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</si>
  <si>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</si>
  <si>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</si>
  <si>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</si>
  <si>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</si>
  <si>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</si>
  <si>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</si>
  <si>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</si>
  <si>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</si>
  <si>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</si>
  <si>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</si>
  <si>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</si>
  <si>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</si>
  <si>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</si>
  <si>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</si>
  <si>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</si>
  <si>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</si>
  <si>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</si>
  <si>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</si>
  <si>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</si>
  <si>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</si>
  <si>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</si>
  <si>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</si>
  <si>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</si>
  <si>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</si>
  <si>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</si>
  <si>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</si>
  <si>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</si>
  <si>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</si>
  <si>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</si>
  <si>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</si>
  <si>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</si>
  <si>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</si>
  <si>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</si>
  <si>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</si>
  <si>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</si>
  <si>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</si>
  <si>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</si>
  <si>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</si>
  <si>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</si>
  <si>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</si>
  <si>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</si>
  <si>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</si>
  <si>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</si>
  <si>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</si>
  <si>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</si>
  <si>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</si>
  <si>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</si>
  <si>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</si>
  <si>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</si>
  <si>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</si>
  <si>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</si>
  <si>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</si>
  <si>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</si>
  <si>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</si>
  <si>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</si>
  <si>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</si>
  <si>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</si>
  <si>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</si>
  <si>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</si>
  <si>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</si>
  <si>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</si>
  <si>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</si>
  <si>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</si>
  <si>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</si>
  <si>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</si>
  <si>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</si>
  <si>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</si>
  <si>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</si>
  <si>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</si>
  <si>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</si>
  <si>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</si>
  <si>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</si>
  <si>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</si>
  <si>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</si>
  <si>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</si>
  <si>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</si>
  <si>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</si>
  <si>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</si>
  <si>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</si>
  <si>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</si>
  <si>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</si>
  <si>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</si>
  <si>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</si>
  <si>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</si>
  <si>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</si>
  <si>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</si>
  <si>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</si>
  <si>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</si>
  <si>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</si>
  <si>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</si>
  <si>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</si>
  <si>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</si>
  <si>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</si>
  <si>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</si>
  <si>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</si>
  <si>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</si>
  <si>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</si>
  <si>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</si>
  <si>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</si>
  <si>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</si>
  <si>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</si>
  <si>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</si>
  <si>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</si>
  <si>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</si>
  <si>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</si>
  <si>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</si>
  <si>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</si>
  <si>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</si>
  <si>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</si>
  <si>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</si>
  <si>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</si>
  <si>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</si>
  <si>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</si>
  <si>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</si>
  <si>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</si>
  <si>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</si>
  <si>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</si>
  <si>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</si>
  <si>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</si>
  <si>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</si>
  <si>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</si>
  <si>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</si>
  <si>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</si>
  <si>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</si>
  <si>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</si>
  <si>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</si>
  <si>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</si>
  <si>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</si>
  <si>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</si>
  <si>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</si>
  <si>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</si>
  <si>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</si>
  <si>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</si>
  <si>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</si>
  <si>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</si>
  <si>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</si>
  <si>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</si>
  <si>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</si>
  <si>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</si>
  <si>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</si>
  <si>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</si>
  <si>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</si>
  <si>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</si>
  <si>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</si>
  <si>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</si>
  <si>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</si>
  <si>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</si>
  <si>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ASSE</t>
  </si>
  <si>
    <t xml:space="preserve">Beynes</t>
  </si>
  <si>
    <t xml:space="preserve">06159385</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</si>
  <si>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</si>
  <si>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</si>
  <si>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</si>
  <si>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</si>
  <si>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</si>
  <si>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</si>
  <si>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</si>
  <si>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</si>
  <si>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</si>
  <si>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</si>
  <si>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</si>
  <si>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</si>
  <si>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</si>
  <si>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</si>
  <si>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</si>
  <si>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</si>
  <si>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</si>
  <si>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</si>
  <si>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</si>
  <si>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</si>
  <si>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</si>
  <si>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</si>
  <si>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</si>
  <si>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</si>
  <si>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</si>
  <si>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</si>
  <si>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</si>
  <si>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</si>
  <si>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</si>
  <si>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</si>
  <si>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</si>
  <si>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</si>
  <si>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</si>
  <si>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</si>
  <si>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</si>
  <si>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</si>
  <si>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</si>
  <si>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</si>
  <si>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</si>
  <si>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</si>
  <si>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</si>
  <si>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</si>
  <si>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</si>
  <si>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</si>
  <si>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</si>
  <si>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</si>
  <si>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</si>
  <si>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</si>
  <si>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</si>
  <si>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(0,02865 %)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</si>
  <si>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</si>
  <si>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</si>
  <si>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</si>
  <si>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</si>
  <si>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</si>
  <si>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</si>
  <si>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</si>
  <si>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</si>
  <si>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</si>
  <si>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</si>
  <si>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</si>
  <si>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</si>
  <si>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</si>
  <si>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</si>
  <si>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</si>
  <si>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</si>
  <si>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</si>
  <si>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</si>
  <si>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</si>
  <si>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</si>
  <si>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Petasites albus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</si>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</sst>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15" borderId="67" xfId="0" applyFont="true" applyBorder="true" applyAlignment="true" applyProtection="true">
      <alignment horizontal="left" vertical="top" textRotation="0" wrapText="false" indent="0" shrinkToFit="false"/>
      <protection locked="true" hidden="true"/>
    </xf>
    <xf numFmtId="172" fontId="37" fillId="15"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15" borderId="80" xfId="0" applyFont="true" applyBorder="true" applyAlignment="true" applyProtection="true">
      <alignment horizontal="center" vertical="top" textRotation="0" wrapText="false" indent="0" shrinkToFit="false"/>
      <protection locked="true" hidden="true"/>
    </xf>
    <xf numFmtId="164" fontId="109" fillId="26" borderId="69" xfId="0" applyFont="true" applyBorder="true" applyAlignment="true" applyProtection="true">
      <alignment horizontal="center" vertical="top" textRotation="0" wrapText="false" indent="0" shrinkToFit="false"/>
      <protection locked="true" hidden="true"/>
    </xf>
    <xf numFmtId="164" fontId="110"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1"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2" fillId="4" borderId="41" xfId="0" applyFont="true" applyBorder="true" applyAlignment="true" applyProtection="true">
      <alignment horizontal="left" vertical="top" textRotation="0" wrapText="false" indent="0" shrinkToFit="false"/>
      <protection locked="true" hidden="true"/>
    </xf>
    <xf numFmtId="164" fontId="113" fillId="4" borderId="42" xfId="0" applyFont="true" applyBorder="true" applyAlignment="true" applyProtection="true">
      <alignment horizontal="left" vertical="top" textRotation="0" wrapText="false" indent="0" shrinkToFit="false"/>
      <protection locked="true" hidden="true"/>
    </xf>
    <xf numFmtId="164" fontId="113" fillId="4" borderId="81" xfId="0" applyFont="true" applyBorder="true" applyAlignment="true" applyProtection="true">
      <alignment horizontal="left" vertical="top" textRotation="0" wrapText="false" indent="0" shrinkToFit="false"/>
      <protection locked="true" hidden="true"/>
    </xf>
    <xf numFmtId="164" fontId="113"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4"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2"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3"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3" fontId="115" fillId="20" borderId="56" xfId="0" applyFont="true" applyBorder="true" applyAlignment="false" applyProtection="true">
      <alignment horizontal="general" vertical="bottom" textRotation="0" wrapText="false" indent="0" shrinkToFit="false"/>
      <protection locked="true" hidden="true"/>
    </xf>
    <xf numFmtId="164" fontId="115"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7"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5"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8" fillId="22" borderId="0" xfId="0" applyFont="true" applyBorder="true" applyAlignment="false" applyProtection="true">
      <alignment horizontal="general" vertical="bottom" textRotation="0" wrapText="false" indent="0" shrinkToFit="false"/>
      <protection locked="true" hidden="true"/>
    </xf>
    <xf numFmtId="164" fontId="118" fillId="22" borderId="42" xfId="0" applyFont="true" applyBorder="true" applyAlignment="false" applyProtection="true">
      <alignment horizontal="general" vertical="bottom" textRotation="0" wrapText="false" indent="0" shrinkToFit="false"/>
      <protection locked="true" hidden="true"/>
    </xf>
    <xf numFmtId="164" fontId="118"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7" fillId="22" borderId="70" xfId="0" applyFont="true" applyBorder="true" applyAlignment="true" applyProtection="true">
      <alignment horizontal="center" vertical="bottom" textRotation="0" wrapText="false" indent="0" shrinkToFit="false"/>
      <protection locked="true" hidden="true"/>
    </xf>
    <xf numFmtId="174" fontId="117"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2"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7" fillId="20" borderId="48" xfId="0" applyFont="true" applyBorder="true" applyAlignment="true" applyProtection="true">
      <alignment horizontal="right" vertical="bottom" textRotation="0" wrapText="false" indent="0" shrinkToFit="false"/>
      <protection locked="true" hidden="true"/>
    </xf>
    <xf numFmtId="173" fontId="117"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7" fillId="17" borderId="0" xfId="0" applyFont="true" applyBorder="false" applyAlignment="false" applyProtection="true">
      <alignment horizontal="general" vertical="bottom" textRotation="0" wrapText="false" indent="0" shrinkToFit="false"/>
      <protection locked="true" hidden="true"/>
    </xf>
    <xf numFmtId="164" fontId="118"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8"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7"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7" fillId="20" borderId="52" xfId="0" applyFont="true" applyBorder="true" applyAlignment="true" applyProtection="true">
      <alignment horizontal="right" vertical="bottom" textRotation="0" wrapText="false" indent="0" shrinkToFit="false"/>
      <protection locked="true" hidden="true"/>
    </xf>
    <xf numFmtId="173" fontId="117" fillId="20" borderId="52" xfId="0" applyFont="true" applyBorder="true" applyAlignment="true" applyProtection="false">
      <alignment horizontal="right" vertical="bottom" textRotation="0" wrapText="false" indent="0" shrinkToFit="false"/>
      <protection locked="true" hidden="false"/>
    </xf>
    <xf numFmtId="164" fontId="118"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2" fillId="22" borderId="28" xfId="0" applyFont="true" applyBorder="true" applyAlignment="true" applyProtection="false">
      <alignment horizontal="left" vertical="bottom" textRotation="0" wrapText="false" indent="0" shrinkToFit="false"/>
      <protection locked="true" hidden="false"/>
    </xf>
    <xf numFmtId="164" fontId="112"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41092</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10.8</v>
      </c>
      <c r="M5" s="324"/>
      <c r="N5" s="325" t="s">
        <v>180</v>
      </c>
      <c r="O5" s="326" t="n">
        <v>9.33333333333333</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73</v>
      </c>
      <c r="C7" s="338" t="n">
        <v>27</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5.33333333333333</v>
      </c>
      <c r="O8" s="355" t="n">
        <f aca="false">IF(ISERROR(AVERAGE(J23:J82)),"      -",AVERAGE(J23:J82))</f>
        <v>0.833333333333333</v>
      </c>
      <c r="P8" s="356"/>
      <c r="Q8" s="281"/>
      <c r="R8" s="281"/>
      <c r="S8" s="281"/>
      <c r="T8" s="281"/>
      <c r="U8" s="281"/>
      <c r="V8" s="281"/>
      <c r="W8" s="293"/>
      <c r="X8" s="294"/>
    </row>
    <row r="9" customFormat="false" ht="13.5" hidden="false" customHeight="false" outlineLevel="0" collapsed="false">
      <c r="A9" s="314" t="s">
        <v>2636</v>
      </c>
      <c r="B9" s="357" t="n">
        <v>0.02</v>
      </c>
      <c r="C9" s="358" t="n">
        <v>0.02</v>
      </c>
      <c r="D9" s="359"/>
      <c r="E9" s="359"/>
      <c r="F9" s="360" t="n">
        <f aca="false">($B9*$B$7+$C9*$C$7)/100</f>
        <v>0.02</v>
      </c>
      <c r="G9" s="361"/>
      <c r="H9" s="362"/>
      <c r="I9" s="363"/>
      <c r="J9" s="364"/>
      <c r="K9" s="344"/>
      <c r="L9" s="365"/>
      <c r="M9" s="354" t="s">
        <v>2637</v>
      </c>
      <c r="N9" s="355" t="n">
        <f aca="false">IF(ISERROR(STDEVP(I23:I82)),"     -",STDEVP(I23:I82))</f>
        <v>5.46707315561891</v>
      </c>
      <c r="O9" s="355" t="n">
        <f aca="false">IF(ISERROR(STDEVP(J23:J82)),"      -",STDEVP(J23:J82))</f>
        <v>0.897527467855751</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13</v>
      </c>
      <c r="O11" s="377" t="n">
        <f aca="false">MAX(J23:J82)</f>
        <v>2</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2</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0</v>
      </c>
      <c r="L13" s="387"/>
      <c r="M13" s="398" t="s">
        <v>2648</v>
      </c>
      <c r="N13" s="399" t="n">
        <f aca="false">COUNTIF(F23:F82,"&gt;0")</f>
        <v>7</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1</v>
      </c>
      <c r="L14" s="387"/>
      <c r="M14" s="402" t="s">
        <v>2651</v>
      </c>
      <c r="N14" s="403" t="n">
        <f aca="false">COUNTIF($I$23:$I$82,"&gt;-1")</f>
        <v>6</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3</v>
      </c>
      <c r="L15" s="387"/>
      <c r="M15" s="408" t="s">
        <v>2654</v>
      </c>
      <c r="N15" s="409" t="n">
        <f aca="false">COUNTIF(J23:J82,"=1")</f>
        <v>1</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2</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0.03</v>
      </c>
      <c r="C20" s="437" t="n">
        <f aca="false">SUM(C23:C82)</f>
        <v>0.025</v>
      </c>
      <c r="D20" s="438"/>
      <c r="E20" s="439" t="s">
        <v>2660</v>
      </c>
      <c r="F20" s="440" t="n">
        <f aca="false">($B20*$B$7+$C20*$C$7)/100</f>
        <v>0.02865</v>
      </c>
      <c r="G20" s="441"/>
      <c r="H20" s="442"/>
      <c r="I20" s="443"/>
      <c r="J20" s="443"/>
      <c r="K20" s="444"/>
      <c r="L20" s="318"/>
      <c r="M20" s="445"/>
      <c r="N20" s="445"/>
      <c r="O20" s="446"/>
      <c r="P20" s="447"/>
      <c r="Q20" s="448" t="s">
        <v>2662</v>
      </c>
      <c r="R20" s="281"/>
      <c r="S20" s="281"/>
      <c r="T20" s="281"/>
      <c r="U20" s="281"/>
      <c r="V20" s="281"/>
      <c r="W20" s="421" t="s">
        <v>2663</v>
      </c>
    </row>
    <row r="21" customFormat="false" ht="12.75" hidden="false" customHeight="false" outlineLevel="0" collapsed="false">
      <c r="A21" s="449" t="s">
        <v>2664</v>
      </c>
      <c r="B21" s="450" t="n">
        <f aca="false">B20*B7/100</f>
        <v>0.0219</v>
      </c>
      <c r="C21" s="450" t="n">
        <f aca="false">C20*C7/100</f>
        <v>0.00675</v>
      </c>
      <c r="D21" s="382" t="str">
        <f aca="false">IF(F21=0,"",IF((ABS(F21-F19))&gt;(0.2*F21),CONCATENATE(" rec. par taxa (",F21," %) supérieur à 20 % !"),""))</f>
        <v> rec. par taxa (0,02865 %) supérieur à 20 % !</v>
      </c>
      <c r="E21" s="451" t="str">
        <f aca="false">IF(F21=0,"",IF((ABS(F21-F19))&gt;(0.2*F21),CONCATENATE("ATTENTION : écart entre rec. par grp (",F19," %) ","et",""),""))</f>
        <v>ATTENTION : écart entre rec. par grp (0 %) et</v>
      </c>
      <c r="F21" s="452" t="n">
        <f aca="false">B21+C21</f>
        <v>0.02865</v>
      </c>
      <c r="G21" s="453"/>
      <c r="H21" s="382"/>
      <c r="I21" s="454"/>
      <c r="J21" s="454"/>
      <c r="K21" s="455"/>
      <c r="L21" s="455"/>
      <c r="M21" s="456"/>
      <c r="N21" s="456"/>
      <c r="O21" s="457"/>
      <c r="P21" s="458"/>
      <c r="Q21" s="459" t="s">
        <v>2665</v>
      </c>
      <c r="R21" s="281"/>
      <c r="S21" s="281"/>
      <c r="T21" s="281"/>
      <c r="U21" s="281"/>
      <c r="V21" s="281"/>
      <c r="W21" s="421" t="s">
        <v>2666</v>
      </c>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t="s">
        <v>180</v>
      </c>
      <c r="B23" s="476"/>
      <c r="C23" s="477" t="n">
        <v>0.01</v>
      </c>
      <c r="D23" s="478" t="str">
        <f aca="false">IF(ISERROR(VLOOKUP($A23,'liste reference'!$A$7:$D$904,2,0)),IF(ISERROR(VLOOKUP($A23,'liste reference'!$B$7:$D$904,1,0)),"",VLOOKUP($A23,'liste reference'!$B$7:$D$904,1,0)),VLOOKUP($A23,'liste reference'!$A$7:$D$904,2,0))</f>
        <v>Mougeotia sp.</v>
      </c>
      <c r="E23" s="478" t="e">
        <f aca="false">IF(D23="",0,VLOOKUP(D23,D$22:D22,1,0))</f>
        <v>#N/A</v>
      </c>
      <c r="F23" s="479" t="n">
        <f aca="false">($B23*$B$7+$C23*$C$7)/100</f>
        <v>0.0027</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13</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Mougeotia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1146</v>
      </c>
      <c r="Q23" s="487" t="n">
        <f aca="false">IF(ISTEXT(H23),"",(B23*$B$7/100)+(C23*$C$7/100))</f>
        <v>0.0027</v>
      </c>
      <c r="R23" s="488" t="n">
        <f aca="false">IF(OR(ISTEXT(H23),Q23=0),"",IF(Q23&lt;0.1,1,IF(Q23&lt;1,2,IF(Q23&lt;10,3,IF(Q23&lt;50,4,IF(Q23&gt;=50,5,""))))))</f>
        <v>1</v>
      </c>
      <c r="S23" s="488" t="n">
        <f aca="false">IF(ISERROR(R23*I23),0,R23*I23)</f>
        <v>13</v>
      </c>
      <c r="T23" s="488" t="n">
        <f aca="false">IF(ISERROR(R23*I23*J23),0,R23*I23*J23)</f>
        <v>26</v>
      </c>
      <c r="U23" s="488" t="n">
        <f aca="false">IF(ISERROR(R23*J23),0,R23*J23)</f>
        <v>2</v>
      </c>
      <c r="V23" s="489" t="str">
        <f aca="false">IF(AND(A23="",F23=0),"",IF(F23=0,"Il manque le(s) % de rec. !",""))</f>
        <v/>
      </c>
      <c r="W23" s="490"/>
      <c r="Y23" s="491" t="str">
        <f aca="false">IF(A23="new.cod","NEWCOD",IF(AND((Z23=""),ISTEXT(A23)),A23,IF(Z23="","",INDEX('liste reference'!$A$8:$A$904,Z23))))</f>
        <v>MOUSPX</v>
      </c>
      <c r="Z23" s="281" t="n">
        <f aca="false">IF(ISERROR(MATCH(A23,'liste reference'!$A$8:$A$904,0)),IF(ISERROR(MATCH(A23,'liste reference'!$B$8:$B$904,0)),"",(MATCH(A23,'liste reference'!$B$8:$B$904,0))),(MATCH(A23,'liste reference'!$A$8:$A$904,0)))</f>
        <v>43</v>
      </c>
      <c r="AA23" s="492"/>
      <c r="AB23" s="493"/>
      <c r="AC23" s="493"/>
      <c r="BB23" s="281" t="n">
        <f aca="false">IF(A23="","",1)</f>
        <v>1</v>
      </c>
    </row>
    <row r="24" customFormat="false" ht="12.75" hidden="false" customHeight="false" outlineLevel="0" collapsed="false">
      <c r="A24" s="494" t="s">
        <v>258</v>
      </c>
      <c r="B24" s="495"/>
      <c r="C24" s="496" t="n">
        <v>0.005</v>
      </c>
      <c r="D24" s="478" t="str">
        <f aca="false">IF(ISERROR(VLOOKUP($A24,'liste reference'!$A$7:$D$904,2,0)),IF(ISERROR(VLOOKUP($A24,'liste reference'!$B$7:$D$904,1,0)),"",VLOOKUP($A24,'liste reference'!$B$7:$D$904,1,0)),VLOOKUP($A24,'liste reference'!$A$7:$D$904,2,0))</f>
        <v>Spirogyra sp.</v>
      </c>
      <c r="E24" s="497" t="e">
        <f aca="false">IF(D24="",0,VLOOKUP(D24,D$22:D23,1,0))</f>
        <v>#N/A</v>
      </c>
      <c r="F24" s="498" t="n">
        <f aca="false">($B24*$B$7+$C24*$C$7)/100</f>
        <v>0.00135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Spirogyra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1147</v>
      </c>
      <c r="Q24" s="487" t="n">
        <f aca="false">IF(ISTEXT(H24),"",(B24*$B$7/100)+(C24*$C$7/100))</f>
        <v>0.00135</v>
      </c>
      <c r="R24" s="488" t="n">
        <f aca="false">IF(OR(ISTEXT(H24),Q24=0),"",IF(Q24&lt;0.1,1,IF(Q24&lt;1,2,IF(Q24&lt;10,3,IF(Q24&lt;50,4,IF(Q24&gt;=50,5,""))))))</f>
        <v>1</v>
      </c>
      <c r="S24" s="488" t="n">
        <f aca="false">IF(ISERROR(R24*I24),0,R24*I24)</f>
        <v>10</v>
      </c>
      <c r="T24" s="488" t="n">
        <f aca="false">IF(ISERROR(R24*I24*J24),0,R24*I24*J24)</f>
        <v>10</v>
      </c>
      <c r="U24" s="500" t="n">
        <f aca="false">IF(ISERROR(R24*J24),0,R24*J24)</f>
        <v>1</v>
      </c>
      <c r="V24" s="489" t="str">
        <f aca="false">IF(AND(A24="",F24=0),"",IF(F24=0,"Il manque le(s) % de rec. !",""))</f>
        <v/>
      </c>
      <c r="W24" s="490"/>
      <c r="Y24" s="491" t="str">
        <f aca="false">IF(A24="new.cod","NEWCOD",IF(AND((Z24=""),ISTEXT(A24)),A24,IF(Z24="","",INDEX('liste reference'!$A$8:$A$904,Z24))))</f>
        <v>SPISPX</v>
      </c>
      <c r="Z24" s="281" t="n">
        <f aca="false">IF(ISERROR(MATCH(A24,'liste reference'!$A$8:$A$904,0)),IF(ISERROR(MATCH(A24,'liste reference'!$B$8:$B$904,0)),"",(MATCH(A24,'liste reference'!$B$8:$B$904,0))),(MATCH(A24,'liste reference'!$A$8:$A$904,0)))</f>
        <v>69</v>
      </c>
      <c r="AA24" s="492"/>
      <c r="AB24" s="493"/>
      <c r="AC24" s="493"/>
      <c r="BB24" s="281" t="n">
        <f aca="false">IF(A24="","",1)</f>
        <v>1</v>
      </c>
    </row>
    <row r="25" customFormat="false" ht="12.75" hidden="false" customHeight="false" outlineLevel="0" collapsed="false">
      <c r="A25" s="494" t="s">
        <v>1156</v>
      </c>
      <c r="B25" s="495" t="n">
        <v>0.005</v>
      </c>
      <c r="C25" s="496" t="n">
        <v>0.005</v>
      </c>
      <c r="D25" s="478" t="str">
        <f aca="false">IF(ISERROR(VLOOKUP($A25,'liste reference'!$A$7:$D$904,2,0)),IF(ISERROR(VLOOKUP($A25,'liste reference'!$B$7:$D$904,1,0)),"",VLOOKUP($A25,'liste reference'!$B$7:$D$904,1,0)),VLOOKUP($A25,'liste reference'!$A$7:$D$904,2,0))</f>
        <v>Equisetum arvense</v>
      </c>
      <c r="E25" s="497" t="e">
        <f aca="false">IF(D25="",0,VLOOKUP(D25,D$22:D24,1,0))</f>
        <v>#N/A</v>
      </c>
      <c r="F25" s="498" t="n">
        <f aca="false">($B25*$B$7+$C25*$C$7)/100</f>
        <v>0.005</v>
      </c>
      <c r="G25" s="480" t="str">
        <f aca="false">IF(A25="","",IF(ISERROR(VLOOKUP($A25,'liste reference'!$A$7:$P$904,13,0)),IF(ISERROR(VLOOKUP($A25,'liste reference'!$B$7:$P$904,12,0)),"    -",VLOOKUP($A25,'liste reference'!$B$7:$P$904,12,0)),VLOOKUP($A25,'liste reference'!$A$7:$P$904,13,0)))</f>
        <v>PTE</v>
      </c>
      <c r="H25" s="481" t="n">
        <f aca="false">IF(A25="","x",IF(ISERROR(VLOOKUP($A25,'liste reference'!$A$8:$P$904,14,0)),IF(ISERROR(VLOOKUP($A25,'liste reference'!$B$8:$P$904,13,0)),"x",VLOOKUP($A25,'liste reference'!$B$8:$P$904,13,0)),VLOOKUP($A25,'liste reference'!$A$8:$P$904,14,0)))</f>
        <v>6</v>
      </c>
      <c r="I25" s="482" t="n">
        <f aca="false">IF(ISNUMBER(H25),IF(ISERROR(VLOOKUP($A25,'liste reference'!$A$7:$P$904,3,0)),IF(ISERROR(VLOOKUP($A25,'liste reference'!$B$7:$P$904,2,0)),"",VLOOKUP($A25,'liste reference'!$B$7:$P$904,2,0)),VLOOKUP($A25,'liste reference'!$A$7:$P$904,3,0)),"")</f>
        <v>0</v>
      </c>
      <c r="J25" s="482" t="n">
        <f aca="false">IF(ISNUMBER(H25),IF(ISERROR(VLOOKUP($A25,'liste reference'!$A$7:$P$904,4,0)),IF(ISERROR(VLOOKUP($A25,'liste reference'!$B$7:$P$904,3,0)),"",VLOOKUP($A25,'liste reference'!$B$7:$P$904,3,0)),VLOOKUP($A25,'liste reference'!$A$7:$P$904,4,0)),"")</f>
        <v>0</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Equisetum arvense</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1384</v>
      </c>
      <c r="Q25" s="487" t="n">
        <f aca="false">IF(ISTEXT(H25),"",(B25*$B$7/100)+(C25*$C$7/100))</f>
        <v>0.005</v>
      </c>
      <c r="R25" s="488" t="n">
        <f aca="false">IF(OR(ISTEXT(H25),Q25=0),"",IF(Q25&lt;0.1,1,IF(Q25&lt;1,2,IF(Q25&lt;10,3,IF(Q25&lt;50,4,IF(Q25&gt;=50,5,""))))))</f>
        <v>1</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EQUARV</v>
      </c>
      <c r="Z25" s="281" t="n">
        <f aca="false">IF(ISERROR(MATCH(A25,'liste reference'!$A$8:$A$904,0)),IF(ISERROR(MATCH(A25,'liste reference'!$B$8:$B$904,0)),"",(MATCH(A25,'liste reference'!$B$8:$B$904,0))),(MATCH(A25,'liste reference'!$A$8:$A$904,0)))</f>
        <v>278</v>
      </c>
      <c r="AA25" s="492"/>
      <c r="AB25" s="493"/>
      <c r="AC25" s="493"/>
      <c r="BB25" s="281" t="n">
        <f aca="false">IF(A25="","",1)</f>
        <v>1</v>
      </c>
    </row>
    <row r="26" customFormat="false" ht="12.75" hidden="false" customHeight="false" outlineLevel="0" collapsed="false">
      <c r="A26" s="494" t="s">
        <v>2528</v>
      </c>
      <c r="B26" s="495" t="n">
        <v>0.01</v>
      </c>
      <c r="C26" s="496" t="n">
        <v>0.005</v>
      </c>
      <c r="D26" s="478" t="str">
        <f aca="false">IF(ISERROR(VLOOKUP($A26,'liste reference'!$A$7:$D$904,2,0)),IF(ISERROR(VLOOKUP($A26,'liste reference'!$B$7:$D$904,1,0)),"",VLOOKUP($A26,'liste reference'!$B$7:$D$904,1,0)),VLOOKUP($A26,'liste reference'!$A$7:$D$904,2,0))</f>
        <v>Molinia arundinacea</v>
      </c>
      <c r="E26" s="497" t="e">
        <f aca="false">IF(D26="",0,VLOOKUP(D26,D$22:D25,1,0))</f>
        <v>#N/A</v>
      </c>
      <c r="F26" s="498" t="n">
        <f aca="false">($B26*$B$7+$C26*$C$7)/100</f>
        <v>0.00865</v>
      </c>
      <c r="G26" s="480" t="str">
        <f aca="false">IF(A26="","",IF(ISERROR(VLOOKUP($A26,'liste reference'!$A$7:$P$904,13,0)),IF(ISERROR(VLOOKUP($A26,'liste reference'!$B$7:$P$904,12,0)),"    -",VLOOKUP($A26,'liste reference'!$B$7:$P$904,12,0)),VLOOKUP($A26,'liste reference'!$A$7:$P$904,13,0)))</f>
        <v>PHx</v>
      </c>
      <c r="H26" s="481" t="n">
        <f aca="false">IF(A26="","x",IF(ISERROR(VLOOKUP($A26,'liste reference'!$A$8:$P$904,14,0)),IF(ISERROR(VLOOKUP($A26,'liste reference'!$B$8:$P$904,13,0)),"x",VLOOKUP($A26,'liste reference'!$B$8:$P$904,13,0)),VLOOKUP($A26,'liste reference'!$A$8:$P$904,14,0)))</f>
        <v>10</v>
      </c>
      <c r="I26" s="482" t="n">
        <f aca="false">IF(ISNUMBER(H26),IF(ISERROR(VLOOKUP($A26,'liste reference'!$A$7:$P$904,3,0)),IF(ISERROR(VLOOKUP($A26,'liste reference'!$B$7:$P$904,2,0)),"",VLOOKUP($A26,'liste reference'!$B$7:$P$904,2,0)),VLOOKUP($A26,'liste reference'!$A$7:$P$904,3,0)),"")</f>
        <v>0</v>
      </c>
      <c r="J26" s="482" t="n">
        <f aca="false">IF(ISNUMBER(H26),IF(ISERROR(VLOOKUP($A26,'liste reference'!$A$7:$P$904,4,0)),IF(ISERROR(VLOOKUP($A26,'liste reference'!$B$7:$P$904,3,0)),"",VLOOKUP($A26,'liste reference'!$B$7:$P$904,3,0)),VLOOKUP($A26,'liste reference'!$A$7:$P$904,4,0)),"")</f>
        <v>0</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Molinia arundinacea</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19862</v>
      </c>
      <c r="Q26" s="487" t="n">
        <f aca="false">IF(ISTEXT(H26),"",(B26*$B$7/100)+(C26*$C$7/100))</f>
        <v>0.00865</v>
      </c>
      <c r="R26" s="488" t="n">
        <f aca="false">IF(OR(ISTEXT(H26),Q26=0),"",IF(Q26&lt;0.1,1,IF(Q26&lt;1,2,IF(Q26&lt;10,3,IF(Q26&lt;50,4,IF(Q26&gt;=50,5,""))))))</f>
        <v>1</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MOLARU</v>
      </c>
      <c r="Z26" s="281" t="n">
        <f aca="false">IF(ISERROR(MATCH(A26,'liste reference'!$A$8:$A$904,0)),IF(ISERROR(MATCH(A26,'liste reference'!$B$8:$B$904,0)),"",(MATCH(A26,'liste reference'!$B$8:$B$904,0))),(MATCH(A26,'liste reference'!$A$8:$A$904,0)))</f>
        <v>865</v>
      </c>
      <c r="AA26" s="492"/>
      <c r="AB26" s="493"/>
      <c r="AC26" s="493"/>
      <c r="BB26" s="281" t="n">
        <f aca="false">IF(A26="","",1)</f>
        <v>1</v>
      </c>
    </row>
    <row r="27" customFormat="false" ht="12.75" hidden="false" customHeight="false" outlineLevel="0" collapsed="false">
      <c r="A27" s="494" t="s">
        <v>2685</v>
      </c>
      <c r="B27" s="495" t="n">
        <v>0.005</v>
      </c>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0.00365</v>
      </c>
      <c r="G27" s="480" t="str">
        <f aca="false">IF(A27="","",IF(ISERROR(VLOOKUP($A27,'liste reference'!$A$7:$P$904,13,0)),IF(ISERROR(VLOOKUP($A27,'liste reference'!$B$7:$P$904,12,0)),"    -",VLOOKUP($A27,'liste reference'!$B$7:$P$904,12,0)),VLOOKUP($A27,'liste reference'!$A$7:$P$904,13,0)))</f>
        <v>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Petasites albus</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No</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NEWCOD</v>
      </c>
      <c r="Z27" s="281" t="str">
        <f aca="false">IF(ISERROR(MATCH(A27,'liste reference'!$A$8:$A$904,0)),IF(ISERROR(MATCH(A27,'liste reference'!$B$8:$B$904,0)),"",(MATCH(A27,'liste reference'!$B$8:$B$904,0))),(MATCH(A27,'liste reference'!$A$8:$A$904,0)))</f>
        <v/>
      </c>
      <c r="AA27" s="492" t="s">
        <v>2686</v>
      </c>
      <c r="AB27" s="493" t="s">
        <v>2687</v>
      </c>
      <c r="AC27" s="493"/>
      <c r="BB27" s="281" t="n">
        <f aca="false">IF(A27="","",1)</f>
        <v>1</v>
      </c>
    </row>
    <row r="28" customFormat="false" ht="12.75" hidden="false" customHeight="false" outlineLevel="0" collapsed="false">
      <c r="A28" s="494" t="s">
        <v>2309</v>
      </c>
      <c r="B28" s="495" t="n">
        <v>0.005</v>
      </c>
      <c r="C28" s="496"/>
      <c r="D28" s="478" t="str">
        <f aca="false">IF(ISERROR(VLOOKUP($A28,'liste reference'!$A$7:$D$904,2,0)),IF(ISERROR(VLOOKUP($A28,'liste reference'!$B$7:$D$904,1,0)),"",VLOOKUP($A28,'liste reference'!$B$7:$D$904,1,0)),VLOOKUP($A28,'liste reference'!$A$7:$D$904,2,0))</f>
        <v>Juncus articulatus</v>
      </c>
      <c r="E28" s="497" t="e">
        <f aca="false">IF(D28="",0,VLOOKUP(D28,D$22:D27,1,0))</f>
        <v>#N/A</v>
      </c>
      <c r="F28" s="498" t="n">
        <f aca="false">($B28*$B$7+$C28*$C$7)/100</f>
        <v>0.00365</v>
      </c>
      <c r="G28" s="480" t="str">
        <f aca="false">IF(A28="","",IF(ISERROR(VLOOKUP($A28,'liste reference'!$A$7:$P$904,13,0)),IF(ISERROR(VLOOKUP($A28,'liste reference'!$B$7:$P$904,12,0)),"    -",VLOOKUP($A28,'liste reference'!$B$7:$P$904,12,0)),VLOOKUP($A28,'liste reference'!$A$7:$P$904,13,0)))</f>
        <v>PHg</v>
      </c>
      <c r="H28" s="481" t="n">
        <f aca="false">IF(A28="","x",IF(ISERROR(VLOOKUP($A28,'liste reference'!$A$8:$P$904,14,0)),IF(ISERROR(VLOOKUP($A28,'liste reference'!$B$8:$P$904,13,0)),"x",VLOOKUP($A28,'liste reference'!$B$8:$P$904,13,0)),VLOOKUP($A28,'liste reference'!$A$8:$P$904,14,0)))</f>
        <v>9</v>
      </c>
      <c r="I28" s="482" t="n">
        <f aca="false">IF(ISNUMBER(H28),IF(ISERROR(VLOOKUP($A28,'liste reference'!$A$7:$P$904,3,0)),IF(ISERROR(VLOOKUP($A28,'liste reference'!$B$7:$P$904,2,0)),"",VLOOKUP($A28,'liste reference'!$B$7:$P$904,2,0)),VLOOKUP($A28,'liste reference'!$A$7:$P$904,3,0)),"")</f>
        <v>0</v>
      </c>
      <c r="J28" s="482" t="n">
        <f aca="false">IF(ISNUMBER(H28),IF(ISERROR(VLOOKUP($A28,'liste reference'!$A$7:$P$904,4,0)),IF(ISERROR(VLOOKUP($A28,'liste reference'!$B$7:$P$904,3,0)),"",VLOOKUP($A28,'liste reference'!$B$7:$P$904,3,0)),VLOOKUP($A28,'liste reference'!$A$7:$P$904,4,0)),"")</f>
        <v>0</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Juncus articulatus</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1609</v>
      </c>
      <c r="Q28" s="487" t="n">
        <f aca="false">IF(ISTEXT(H28),"",(B28*$B$7/100)+(C28*$C$7/100))</f>
        <v>0.00365</v>
      </c>
      <c r="R28" s="488" t="n">
        <f aca="false">IF(OR(ISTEXT(H28),Q28=0),"",IF(Q28&lt;0.1,1,IF(Q28&lt;1,2,IF(Q28&lt;10,3,IF(Q28&lt;50,4,IF(Q28&gt;=50,5,""))))))</f>
        <v>1</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JUNART</v>
      </c>
      <c r="Z28" s="281" t="n">
        <f aca="false">IF(ISERROR(MATCH(A28,'liste reference'!$A$8:$A$904,0)),IF(ISERROR(MATCH(A28,'liste reference'!$B$8:$B$904,0)),"",(MATCH(A28,'liste reference'!$B$8:$B$904,0))),(MATCH(A28,'liste reference'!$A$8:$A$904,0)))</f>
        <v>768</v>
      </c>
      <c r="AA28" s="492"/>
      <c r="AB28" s="493"/>
      <c r="AC28" s="493"/>
      <c r="BB28" s="281" t="n">
        <f aca="false">IF(A28="","",1)</f>
        <v>1</v>
      </c>
    </row>
    <row r="29" customFormat="false" ht="12.75" hidden="false" customHeight="false" outlineLevel="0" collapsed="false">
      <c r="A29" s="494" t="s">
        <v>2004</v>
      </c>
      <c r="B29" s="495" t="n">
        <v>0.005</v>
      </c>
      <c r="C29" s="496"/>
      <c r="D29" s="478" t="str">
        <f aca="false">IF(ISERROR(VLOOKUP($A29,'liste reference'!$A$7:$D$904,2,0)),IF(ISERROR(VLOOKUP($A29,'liste reference'!$B$7:$D$904,1,0)),"",VLOOKUP($A29,'liste reference'!$B$7:$D$904,1,0)),VLOOKUP($A29,'liste reference'!$A$7:$D$904,2,0))</f>
        <v>Phragmites australis</v>
      </c>
      <c r="E29" s="497" t="e">
        <f aca="false">IF(D29="",0,VLOOKUP(D29,D$22:D28,1,0))</f>
        <v>#N/A</v>
      </c>
      <c r="F29" s="498" t="n">
        <f aca="false">($B29*$B$7+$C29*$C$7)/100</f>
        <v>0.00365</v>
      </c>
      <c r="G29" s="480" t="str">
        <f aca="false">IF(A29="","",IF(ISERROR(VLOOKUP($A29,'liste reference'!$A$7:$P$904,13,0)),IF(ISERROR(VLOOKUP($A29,'liste reference'!$B$7:$P$904,12,0)),"    -",VLOOKUP($A29,'liste reference'!$B$7:$P$904,12,0)),VLOOKUP($A29,'liste reference'!$A$7:$P$904,13,0)))</f>
        <v>PHe</v>
      </c>
      <c r="H29" s="481" t="n">
        <f aca="false">IF(A29="","x",IF(ISERROR(VLOOKUP($A29,'liste reference'!$A$8:$P$904,14,0)),IF(ISERROR(VLOOKUP($A29,'liste reference'!$B$8:$P$904,13,0)),"x",VLOOKUP($A29,'liste reference'!$B$8:$P$904,13,0)),VLOOKUP($A29,'liste reference'!$A$8:$P$904,14,0)))</f>
        <v>8</v>
      </c>
      <c r="I29" s="482" t="n">
        <f aca="false">IF(ISNUMBER(H29),IF(ISERROR(VLOOKUP($A29,'liste reference'!$A$7:$P$904,3,0)),IF(ISERROR(VLOOKUP($A29,'liste reference'!$B$7:$P$904,2,0)),"",VLOOKUP($A29,'liste reference'!$B$7:$P$904,2,0)),VLOOKUP($A29,'liste reference'!$A$7:$P$904,3,0)),"")</f>
        <v>9</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Phragmites australis</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1579</v>
      </c>
      <c r="Q29" s="487" t="n">
        <f aca="false">IF(ISTEXT(H29),"",(B29*$B$7/100)+(C29*$C$7/100))</f>
        <v>0.00365</v>
      </c>
      <c r="R29" s="488" t="n">
        <f aca="false">IF(OR(ISTEXT(H29),Q29=0),"",IF(Q29&lt;0.1,1,IF(Q29&lt;1,2,IF(Q29&lt;10,3,IF(Q29&lt;50,4,IF(Q29&gt;=50,5,""))))))</f>
        <v>1</v>
      </c>
      <c r="S29" s="488" t="n">
        <f aca="false">IF(ISERROR(R29*I29),0,R29*I29)</f>
        <v>9</v>
      </c>
      <c r="T29" s="488" t="n">
        <f aca="false">IF(ISERROR(R29*I29*J29),0,R29*I29*J29)</f>
        <v>18</v>
      </c>
      <c r="U29" s="500" t="n">
        <f aca="false">IF(ISERROR(R29*J29),0,R29*J29)</f>
        <v>2</v>
      </c>
      <c r="V29" s="489" t="str">
        <f aca="false">IF(AND(A29="",F29=0),"",IF(F29=0,"Il manque le(s) % de rec. !",""))</f>
        <v/>
      </c>
      <c r="W29" s="490"/>
      <c r="X29" s="490"/>
      <c r="Y29" s="491" t="str">
        <f aca="false">IF(A29="new.cod","NEWCOD",IF(AND((Z29=""),ISTEXT(A29)),A29,IF(Z29="","",INDEX('liste reference'!$A$8:$A$904,Z29))))</f>
        <v>PHRAUS</v>
      </c>
      <c r="Z29" s="281" t="n">
        <f aca="false">IF(ISERROR(MATCH(A29,'liste reference'!$A$8:$A$904,0)),IF(ISERROR(MATCH(A29,'liste reference'!$B$8:$B$904,0)),"",(MATCH(A29,'liste reference'!$B$8:$B$904,0))),(MATCH(A29,'liste reference'!$A$8:$A$904,0)))</f>
        <v>635</v>
      </c>
      <c r="AA29" s="492"/>
      <c r="AB29" s="493"/>
      <c r="AC29" s="493"/>
      <c r="BB29" s="281" t="n">
        <f aca="false">IF(A29="","",1)</f>
        <v>1</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ASSE</v>
      </c>
      <c r="B84" s="530" t="str">
        <f aca="false">C3</f>
        <v>Beynes</v>
      </c>
      <c r="C84" s="531" t="n">
        <f aca="false">A4</f>
        <v>41092</v>
      </c>
      <c r="D84" s="532" t="n">
        <f aca="false">IF(ISERROR(SUM($T$23:$T$82)/SUM($U$23:$U$82)),"",SUM($T$23:$T$82)/SUM($U$23:$U$82))</f>
        <v>10.8</v>
      </c>
      <c r="E84" s="533" t="n">
        <f aca="false">N13</f>
        <v>7</v>
      </c>
      <c r="F84" s="530" t="n">
        <f aca="false">N14</f>
        <v>6</v>
      </c>
      <c r="G84" s="530" t="n">
        <f aca="false">N15</f>
        <v>1</v>
      </c>
      <c r="H84" s="530" t="n">
        <f aca="false">N16</f>
        <v>2</v>
      </c>
      <c r="I84" s="530" t="n">
        <f aca="false">N17</f>
        <v>0</v>
      </c>
      <c r="J84" s="534" t="n">
        <f aca="false">N8</f>
        <v>5.33333333333333</v>
      </c>
      <c r="K84" s="532" t="n">
        <f aca="false">N9</f>
        <v>5.46707315561891</v>
      </c>
      <c r="L84" s="533" t="n">
        <f aca="false">N10</f>
        <v>0</v>
      </c>
      <c r="M84" s="533" t="n">
        <f aca="false">N11</f>
        <v>13</v>
      </c>
      <c r="N84" s="532" t="n">
        <f aca="false">O8</f>
        <v>0.833333333333333</v>
      </c>
      <c r="O84" s="532" t="n">
        <f aca="false">O9</f>
        <v>0.897527467855751</v>
      </c>
      <c r="P84" s="533" t="n">
        <f aca="false">O10</f>
        <v>0</v>
      </c>
      <c r="Q84" s="533" t="n">
        <f aca="false">O11</f>
        <v>2</v>
      </c>
      <c r="R84" s="533" t="n">
        <f aca="false">F21</f>
        <v>0.02865</v>
      </c>
      <c r="S84" s="533" t="n">
        <f aca="false">K11</f>
        <v>0</v>
      </c>
      <c r="T84" s="533" t="n">
        <f aca="false">K12</f>
        <v>2</v>
      </c>
      <c r="U84" s="533" t="n">
        <f aca="false">K13</f>
        <v>0</v>
      </c>
      <c r="V84" s="535" t="n">
        <f aca="false">K14</f>
        <v>1</v>
      </c>
      <c r="W84" s="536" t="n">
        <f aca="false">K15</f>
        <v>3</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13</v>
      </c>
      <c r="T87" s="281"/>
      <c r="U87" s="281"/>
      <c r="V87" s="281"/>
    </row>
    <row r="88" customFormat="false" ht="12.75" hidden="true" customHeight="false" outlineLevel="0" collapsed="false">
      <c r="P88" s="281"/>
      <c r="Q88" s="281" t="s">
        <v>2691</v>
      </c>
      <c r="R88" s="281"/>
      <c r="S88" s="489" t="n">
        <f aca="false">VLOOKUP((S87),($S$23:$U$82),2,0)</f>
        <v>26</v>
      </c>
      <c r="T88" s="281"/>
      <c r="U88" s="281"/>
      <c r="V88" s="281"/>
    </row>
    <row r="89" customFormat="false" ht="12.75" hidden="true" customHeight="false" outlineLevel="0" collapsed="false">
      <c r="Q89" s="281" t="s">
        <v>2692</v>
      </c>
      <c r="R89" s="281"/>
      <c r="S89" s="489" t="n">
        <f aca="false">VLOOKUP((S87),($S$23:$U$82),3,0)</f>
        <v>2</v>
      </c>
      <c r="T89" s="281"/>
    </row>
    <row r="90" customFormat="false" ht="12.75" hidden="false" customHeight="false" outlineLevel="0" collapsed="false">
      <c r="Q90" s="281" t="s">
        <v>2693</v>
      </c>
      <c r="R90" s="281"/>
      <c r="S90" s="539" t="n">
        <f aca="false">IF(ISERROR(SUM($T$23:$T$82)/SUM($U$23:$U$82)),"",(SUM($T$23:$T$82)-S88)/(SUM($U$23:$U$82)-S89))</f>
        <v>9.33333333333333</v>
      </c>
      <c r="T90" s="281"/>
    </row>
    <row r="91" customFormat="false" ht="12.75" hidden="false" customHeight="false" outlineLevel="0" collapsed="false">
      <c r="Q91" s="488" t="s">
        <v>2694</v>
      </c>
      <c r="R91" s="488"/>
      <c r="S91" s="488" t="str">
        <f aca="false">INDEX('liste reference'!$A$8:$A$904,$T$91)</f>
        <v>MOUSPX</v>
      </c>
      <c r="T91" s="281" t="n">
        <f aca="false">IF(ISERROR(MATCH($S$93,'liste reference'!$A$8:$A$904,0)),MATCH($S$93,'liste reference'!$B$8:$B$904,0),(MATCH($S$93,'liste reference'!$A$8:$A$904,0)))</f>
        <v>43</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str">
        <f aca="false">INDEX($A$23:$A$82,$S$92)</f>
        <v>MOUSPX</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2697</v>
      </c>
      <c r="B2" s="285"/>
      <c r="C2" s="286" t="s">
        <v>2698</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2699</v>
      </c>
      <c r="B3" s="285"/>
      <c r="C3" s="284" t="s">
        <v>2700</v>
      </c>
      <c r="D3" s="295"/>
      <c r="E3" s="295"/>
      <c r="F3" s="296"/>
      <c r="G3" s="296"/>
      <c r="H3" s="297"/>
      <c r="I3" s="298"/>
      <c r="J3" s="297"/>
      <c r="K3" s="299" t="s">
        <v>2701</v>
      </c>
      <c r="L3" s="300"/>
      <c r="M3" s="301" t="s">
        <v>2702</v>
      </c>
      <c r="N3" s="302"/>
      <c r="O3" s="302"/>
      <c r="P3" s="303"/>
      <c r="Q3" s="281"/>
      <c r="R3" s="281"/>
      <c r="S3" s="281"/>
      <c r="T3" s="281"/>
      <c r="U3" s="281"/>
      <c r="V3" s="281"/>
      <c r="W3" s="293"/>
      <c r="X3" s="294"/>
    </row>
    <row r="4" customFormat="false" ht="13.5" hidden="false" customHeight="false" outlineLevel="0" collapsed="false">
      <c r="A4" s="540" t="s">
        <v>2703</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2639</v>
      </c>
      <c r="K10" s="374"/>
      <c r="L10" s="375"/>
      <c r="M10" s="376" t="s">
        <v>2640</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2641</v>
      </c>
      <c r="B11" s="380"/>
      <c r="C11" s="381"/>
      <c r="D11" s="382"/>
      <c r="E11" s="382"/>
      <c r="F11" s="383" t="n">
        <f aca="false">($B11*$B$7+$C11*$C$7)/100</f>
        <v>0</v>
      </c>
      <c r="G11" s="384"/>
      <c r="H11" s="339"/>
      <c r="I11" s="385" t="s">
        <v>2642</v>
      </c>
      <c r="J11" s="385"/>
      <c r="K11" s="386" t="n">
        <f aca="false">COUNTIF($G$23:$G$82,"=HET")</f>
        <v>0</v>
      </c>
      <c r="L11" s="387"/>
      <c r="M11" s="376" t="s">
        <v>2643</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2644</v>
      </c>
      <c r="B12" s="389"/>
      <c r="C12" s="390"/>
      <c r="D12" s="382"/>
      <c r="E12" s="382"/>
      <c r="F12" s="383" t="n">
        <f aca="false">($B12*$B$7+$C12*$C$7)/100</f>
        <v>0</v>
      </c>
      <c r="G12" s="391"/>
      <c r="H12" s="339"/>
      <c r="I12" s="392" t="s">
        <v>2645</v>
      </c>
      <c r="J12" s="392"/>
      <c r="K12" s="386" t="n">
        <f aca="false">COUNTIF($G$23:$G$82,"=ALG")</f>
        <v>0</v>
      </c>
      <c r="L12" s="393"/>
      <c r="M12" s="394"/>
      <c r="N12" s="395" t="s">
        <v>2639</v>
      </c>
      <c r="O12" s="396"/>
      <c r="P12" s="397"/>
      <c r="Q12" s="281"/>
      <c r="R12" s="281"/>
      <c r="S12" s="281"/>
      <c r="T12" s="281"/>
      <c r="U12" s="281"/>
      <c r="V12" s="281"/>
    </row>
    <row r="13" customFormat="false" ht="12.75" hidden="false" customHeight="false" outlineLevel="0" collapsed="false">
      <c r="A13" s="388" t="s">
        <v>2646</v>
      </c>
      <c r="B13" s="389"/>
      <c r="C13" s="390"/>
      <c r="D13" s="382"/>
      <c r="E13" s="382"/>
      <c r="F13" s="383" t="n">
        <f aca="false">($B13*$B$7+$C13*$C$7)/100</f>
        <v>0</v>
      </c>
      <c r="G13" s="391"/>
      <c r="H13" s="339"/>
      <c r="I13" s="392" t="s">
        <v>2647</v>
      </c>
      <c r="J13" s="392"/>
      <c r="K13" s="386" t="n">
        <f aca="false">COUNTIF($G$23:$G$82,"=BRm")+COUNTIF($G$23:$G$82,"=BRh")</f>
        <v>0</v>
      </c>
      <c r="L13" s="387"/>
      <c r="M13" s="398" t="s">
        <v>2648</v>
      </c>
      <c r="N13" s="399" t="n">
        <f aca="false">COUNTIF(F23:F82,"&gt;0")</f>
        <v>0</v>
      </c>
      <c r="O13" s="400"/>
      <c r="P13" s="401"/>
      <c r="Q13" s="281"/>
      <c r="R13" s="281"/>
      <c r="S13" s="281"/>
      <c r="T13" s="281"/>
      <c r="U13" s="281"/>
      <c r="V13" s="281"/>
    </row>
    <row r="14" customFormat="false" ht="12.75" hidden="false" customHeight="false" outlineLevel="0" collapsed="false">
      <c r="A14" s="388" t="s">
        <v>2649</v>
      </c>
      <c r="B14" s="389"/>
      <c r="C14" s="390"/>
      <c r="D14" s="382"/>
      <c r="E14" s="382"/>
      <c r="F14" s="383" t="n">
        <f aca="false">($B14*$B$7+$C14*$C$7)/100</f>
        <v>0</v>
      </c>
      <c r="G14" s="391"/>
      <c r="H14" s="339"/>
      <c r="I14" s="392" t="s">
        <v>2650</v>
      </c>
      <c r="J14" s="392"/>
      <c r="K14" s="386" t="n">
        <f aca="false">COUNTIF($G$23:$G$82,"=PTE")+COUNTIF($G$23:$G$82,"=LIC")</f>
        <v>0</v>
      </c>
      <c r="L14" s="387"/>
      <c r="M14" s="402" t="s">
        <v>2651</v>
      </c>
      <c r="N14" s="403" t="n">
        <f aca="false">COUNTIF($I$23:$I$82,"&gt;-1")</f>
        <v>0</v>
      </c>
      <c r="O14" s="404"/>
      <c r="P14" s="401"/>
      <c r="Q14" s="281"/>
      <c r="R14" s="281"/>
      <c r="S14" s="281"/>
      <c r="T14" s="281"/>
      <c r="U14" s="281"/>
      <c r="V14" s="281"/>
    </row>
    <row r="15" customFormat="false" ht="12.75" hidden="false" customHeight="false" outlineLevel="0" collapsed="false">
      <c r="A15" s="405" t="s">
        <v>2652</v>
      </c>
      <c r="B15" s="406"/>
      <c r="C15" s="407"/>
      <c r="D15" s="382"/>
      <c r="E15" s="382"/>
      <c r="F15" s="383" t="n">
        <f aca="false">($B15*$B$7+$C15*$C$7)/100</f>
        <v>0</v>
      </c>
      <c r="G15" s="391"/>
      <c r="H15" s="339"/>
      <c r="I15" s="392" t="s">
        <v>2653</v>
      </c>
      <c r="J15" s="392"/>
      <c r="K15" s="386" t="n">
        <f aca="false">(COUNTIF($G$23:$G$82,"=PHy"))+(COUNTIF($G$23:$G$82,"=PHe"))+(COUNTIF($G$23:$G$82,"=PHg"))+(COUNTIF($G$23:$G$82,"=PHx"))</f>
        <v>0</v>
      </c>
      <c r="L15" s="387"/>
      <c r="M15" s="408" t="s">
        <v>2654</v>
      </c>
      <c r="N15" s="409" t="n">
        <f aca="false">COUNTIF(J23:J82,"=1")</f>
        <v>0</v>
      </c>
      <c r="O15" s="410"/>
      <c r="P15" s="401"/>
      <c r="Q15" s="281"/>
      <c r="R15" s="281"/>
      <c r="S15" s="281"/>
      <c r="T15" s="281"/>
      <c r="U15" s="281"/>
      <c r="V15" s="281"/>
    </row>
    <row r="16" customFormat="false" ht="12.75" hidden="false" customHeight="false" outlineLevel="0" collapsed="false">
      <c r="A16" s="379" t="s">
        <v>2655</v>
      </c>
      <c r="B16" s="380"/>
      <c r="C16" s="381"/>
      <c r="D16" s="411"/>
      <c r="E16" s="411"/>
      <c r="F16" s="412"/>
      <c r="G16" s="412" t="n">
        <f aca="false">($B16*$B$7+$C16*$C$7)/100</f>
        <v>0</v>
      </c>
      <c r="H16" s="339"/>
      <c r="I16" s="392"/>
      <c r="J16" s="413"/>
      <c r="K16" s="413"/>
      <c r="L16" s="387"/>
      <c r="M16" s="408" t="s">
        <v>2656</v>
      </c>
      <c r="N16" s="409" t="n">
        <f aca="false">COUNTIF(J23:J82,"=2")</f>
        <v>0</v>
      </c>
      <c r="O16" s="410"/>
      <c r="P16" s="401"/>
      <c r="Q16" s="281"/>
      <c r="R16" s="281"/>
      <c r="S16" s="281"/>
      <c r="T16" s="281"/>
      <c r="U16" s="281"/>
      <c r="V16" s="281"/>
    </row>
    <row r="17" customFormat="false" ht="12.75" hidden="false" customHeight="false" outlineLevel="0" collapsed="false">
      <c r="A17" s="388" t="s">
        <v>2657</v>
      </c>
      <c r="B17" s="389"/>
      <c r="C17" s="390"/>
      <c r="D17" s="382"/>
      <c r="E17" s="382"/>
      <c r="F17" s="414"/>
      <c r="G17" s="383" t="n">
        <f aca="false">($B17*$B$7+$C17*$C$7)/100</f>
        <v>0</v>
      </c>
      <c r="H17" s="339"/>
      <c r="I17" s="392"/>
      <c r="J17" s="392"/>
      <c r="K17" s="413"/>
      <c r="L17" s="387"/>
      <c r="M17" s="408" t="s">
        <v>2658</v>
      </c>
      <c r="N17" s="409" t="n">
        <f aca="false">COUNTIF(J23:J82,"=3")</f>
        <v>0</v>
      </c>
      <c r="O17" s="410"/>
      <c r="P17" s="401"/>
      <c r="Q17" s="281"/>
      <c r="R17" s="281"/>
      <c r="S17" s="281"/>
      <c r="T17" s="281"/>
      <c r="U17" s="281"/>
      <c r="V17" s="281"/>
    </row>
    <row r="18" customFormat="false" ht="12.75" hidden="false" customHeight="false" outlineLevel="0" collapsed="false">
      <c r="A18" s="415" t="s">
        <v>2659</v>
      </c>
      <c r="B18" s="416"/>
      <c r="C18" s="417"/>
      <c r="D18" s="382"/>
      <c r="E18" s="418" t="s">
        <v>2660</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2661</v>
      </c>
      <c r="B20" s="436" t="n">
        <f aca="false">SUM(B23:B82)</f>
        <v>0</v>
      </c>
      <c r="C20" s="437" t="n">
        <f aca="false">SUM(C23:C82)</f>
        <v>0</v>
      </c>
      <c r="D20" s="438"/>
      <c r="E20" s="439" t="s">
        <v>2660</v>
      </c>
      <c r="F20" s="440" t="n">
        <f aca="false">($B20*$B$7+$C20*$C$7)/100</f>
        <v>0</v>
      </c>
      <c r="G20" s="441"/>
      <c r="H20" s="442"/>
      <c r="I20" s="443"/>
      <c r="J20" s="443"/>
      <c r="K20" s="444"/>
      <c r="L20" s="318"/>
      <c r="M20" s="445"/>
      <c r="N20" s="445"/>
      <c r="O20" s="446"/>
      <c r="P20" s="447"/>
      <c r="Q20" s="448" t="s">
        <v>2662</v>
      </c>
      <c r="R20" s="281"/>
      <c r="S20" s="281"/>
      <c r="T20" s="281"/>
      <c r="U20" s="281"/>
      <c r="V20" s="281"/>
      <c r="W20" s="421"/>
    </row>
    <row r="21" customFormat="false" ht="12.75" hidden="false" customHeight="false" outlineLevel="0" collapsed="false">
      <c r="A21" s="449" t="s">
        <v>2664</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2665</v>
      </c>
      <c r="R21" s="281"/>
      <c r="S21" s="281"/>
      <c r="T21" s="281"/>
      <c r="U21" s="281"/>
      <c r="V21" s="281"/>
      <c r="W21" s="421"/>
    </row>
    <row r="22" customFormat="false" ht="12.75" hidden="false" customHeight="false" outlineLevel="0" collapsed="false">
      <c r="A22" s="460" t="s">
        <v>2667</v>
      </c>
      <c r="B22" s="461" t="s">
        <v>2668</v>
      </c>
      <c r="C22" s="462" t="s">
        <v>2668</v>
      </c>
      <c r="D22" s="411"/>
      <c r="E22" s="411"/>
      <c r="F22" s="463" t="s">
        <v>2669</v>
      </c>
      <c r="G22" s="464" t="s">
        <v>37</v>
      </c>
      <c r="H22" s="411"/>
      <c r="I22" s="465" t="s">
        <v>2670</v>
      </c>
      <c r="J22" s="465" t="s">
        <v>2671</v>
      </c>
      <c r="K22" s="466" t="s">
        <v>2672</v>
      </c>
      <c r="L22" s="466"/>
      <c r="M22" s="466"/>
      <c r="N22" s="466"/>
      <c r="O22" s="466"/>
      <c r="P22" s="467" t="s">
        <v>2673</v>
      </c>
      <c r="Q22" s="468" t="s">
        <v>2674</v>
      </c>
      <c r="R22" s="469" t="s">
        <v>2675</v>
      </c>
      <c r="S22" s="470" t="s">
        <v>2676</v>
      </c>
      <c r="T22" s="471" t="s">
        <v>2677</v>
      </c>
      <c r="U22" s="472" t="s">
        <v>2678</v>
      </c>
      <c r="V22" s="470" t="s">
        <v>2679</v>
      </c>
      <c r="Y22" s="281" t="s">
        <v>2680</v>
      </c>
      <c r="Z22" s="281" t="s">
        <v>2681</v>
      </c>
      <c r="AA22" s="473" t="s">
        <v>2682</v>
      </c>
      <c r="AB22" s="473" t="s">
        <v>2683</v>
      </c>
      <c r="AC22" s="474" t="s">
        <v>2684</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0</v>
      </c>
      <c r="T87" s="281"/>
      <c r="U87" s="281"/>
      <c r="V87" s="281"/>
    </row>
    <row r="88" customFormat="false" ht="12.75" hidden="true" customHeight="false" outlineLevel="0" collapsed="false">
      <c r="P88" s="281"/>
      <c r="Q88" s="281" t="s">
        <v>2691</v>
      </c>
      <c r="R88" s="281"/>
      <c r="S88" s="489" t="n">
        <f aca="false">VLOOKUP((S87),($S$23:$U$82),2,0)</f>
        <v>0</v>
      </c>
      <c r="T88" s="281"/>
      <c r="U88" s="281"/>
      <c r="V88" s="281"/>
    </row>
    <row r="89" customFormat="false" ht="12.75" hidden="true" customHeight="false" outlineLevel="0" collapsed="false">
      <c r="Q89" s="281" t="s">
        <v>2692</v>
      </c>
      <c r="R89" s="281"/>
      <c r="S89" s="489" t="n">
        <f aca="false">VLOOKUP((S87),($S$23:$U$82),3,0)</f>
        <v>0</v>
      </c>
      <c r="T89" s="281"/>
    </row>
    <row r="90" customFormat="false" ht="12.75" hidden="false" customHeight="false" outlineLevel="0" collapsed="false">
      <c r="Q90" s="281" t="s">
        <v>2693</v>
      </c>
      <c r="R90" s="281"/>
      <c r="S90" s="539" t="str">
        <f aca="false">IF(ISERROR(SUM($T$23:$T$82)/SUM($U$23:$U$82)),"",(SUM($T$23:$T$82)-S88)/(SUM($U$23:$U$82)-S89))</f>
        <v/>
      </c>
      <c r="T90" s="281"/>
    </row>
    <row r="91" customFormat="false" ht="12.75" hidden="false" customHeight="false" outlineLevel="0" collapsed="false">
      <c r="Q91" s="488" t="s">
        <v>2694</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2704</v>
      </c>
      <c r="B1" s="551"/>
      <c r="C1" s="551"/>
      <c r="D1" s="551"/>
    </row>
    <row r="2" customFormat="false" ht="15" hidden="false" customHeight="false" outlineLevel="0" collapsed="false">
      <c r="A2" s="552" t="s">
        <v>2705</v>
      </c>
      <c r="B2" s="553"/>
      <c r="C2" s="554"/>
      <c r="D2" s="554"/>
    </row>
    <row r="3" customFormat="false" ht="15.75" hidden="false" customHeight="false" outlineLevel="0" collapsed="false">
      <c r="A3" s="552" t="s">
        <v>2706</v>
      </c>
      <c r="B3" s="553"/>
      <c r="C3" s="554"/>
      <c r="D3" s="555" t="s">
        <v>2707</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2708</v>
      </c>
      <c r="G15" s="573"/>
      <c r="H15" s="574" t="s">
        <v>2709</v>
      </c>
      <c r="I15" s="573"/>
    </row>
    <row r="16" customFormat="false" ht="15" hidden="false" customHeight="false" outlineLevel="0" collapsed="false">
      <c r="A16" s="569" t="s">
        <v>1710</v>
      </c>
      <c r="B16" s="568" t="s">
        <v>1711</v>
      </c>
      <c r="C16" s="570"/>
      <c r="D16" s="571"/>
      <c r="F16" s="575" t="s">
        <v>2710</v>
      </c>
      <c r="G16" s="576"/>
      <c r="H16" s="575" t="s">
        <v>2710</v>
      </c>
      <c r="I16" s="577"/>
    </row>
    <row r="17" customFormat="false" ht="15" hidden="false" customHeight="false" outlineLevel="0" collapsed="false">
      <c r="A17" s="567" t="s">
        <v>2129</v>
      </c>
      <c r="B17" s="568" t="s">
        <v>2130</v>
      </c>
      <c r="C17" s="570"/>
      <c r="D17" s="571"/>
      <c r="F17" s="578" t="s">
        <v>2625</v>
      </c>
      <c r="G17" s="579"/>
      <c r="H17" s="578" t="s">
        <v>2625</v>
      </c>
      <c r="I17" s="580"/>
    </row>
    <row r="18" customFormat="false" ht="15" hidden="false" customHeight="false" outlineLevel="0" collapsed="false">
      <c r="A18" s="567" t="s">
        <v>1215</v>
      </c>
      <c r="B18" s="568" t="s">
        <v>1216</v>
      </c>
      <c r="C18" s="570"/>
      <c r="D18" s="571"/>
      <c r="F18" s="578" t="s">
        <v>2711</v>
      </c>
      <c r="G18" s="579"/>
      <c r="H18" s="578" t="s">
        <v>2711</v>
      </c>
      <c r="I18" s="580"/>
    </row>
    <row r="19" customFormat="false" ht="15" hidden="false" customHeight="false" outlineLevel="0" collapsed="false">
      <c r="A19" s="567" t="s">
        <v>1713</v>
      </c>
      <c r="B19" s="568" t="s">
        <v>1714</v>
      </c>
      <c r="C19" s="570"/>
      <c r="D19" s="571"/>
      <c r="F19" s="578" t="s">
        <v>2712</v>
      </c>
      <c r="G19" s="579"/>
      <c r="H19" s="578" t="s">
        <v>2712</v>
      </c>
      <c r="I19" s="580"/>
    </row>
    <row r="20" customFormat="false" ht="15" hidden="false" customHeight="false" outlineLevel="0" collapsed="false">
      <c r="A20" s="569" t="s">
        <v>1716</v>
      </c>
      <c r="B20" s="568" t="s">
        <v>1717</v>
      </c>
      <c r="C20" s="570"/>
      <c r="D20" s="571"/>
      <c r="F20" s="578" t="s">
        <v>2713</v>
      </c>
      <c r="G20" s="579"/>
      <c r="H20" s="578" t="s">
        <v>2713</v>
      </c>
      <c r="I20" s="580"/>
    </row>
    <row r="21" customFormat="false" ht="15" hidden="false" customHeight="false" outlineLevel="0" collapsed="false">
      <c r="A21" s="569" t="s">
        <v>1722</v>
      </c>
      <c r="B21" s="568" t="s">
        <v>1723</v>
      </c>
      <c r="C21" s="570"/>
      <c r="D21" s="571"/>
      <c r="F21" s="578" t="s">
        <v>2714</v>
      </c>
      <c r="G21" s="579"/>
      <c r="H21" s="578" t="s">
        <v>2714</v>
      </c>
      <c r="I21" s="580"/>
    </row>
    <row r="22" customFormat="false" ht="15" hidden="false" customHeight="false" outlineLevel="0" collapsed="false">
      <c r="A22" s="567" t="s">
        <v>1728</v>
      </c>
      <c r="B22" s="568" t="s">
        <v>1729</v>
      </c>
      <c r="C22" s="570"/>
      <c r="D22" s="571"/>
      <c r="F22" s="578" t="s">
        <v>2715</v>
      </c>
      <c r="G22" s="579"/>
      <c r="H22" s="578" t="s">
        <v>2715</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2716</v>
      </c>
      <c r="G24" s="579"/>
      <c r="H24" s="578" t="s">
        <v>2716</v>
      </c>
      <c r="I24" s="580"/>
    </row>
    <row r="25" customFormat="false" ht="15" hidden="false" customHeight="false" outlineLevel="0" collapsed="false">
      <c r="A25" s="567" t="s">
        <v>2135</v>
      </c>
      <c r="B25" s="568" t="s">
        <v>2136</v>
      </c>
      <c r="C25" s="570"/>
      <c r="D25" s="571"/>
      <c r="F25" s="581" t="s">
        <v>2717</v>
      </c>
      <c r="G25" s="582"/>
      <c r="H25" s="581" t="s">
        <v>2717</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2682</v>
      </c>
    </row>
    <row r="29" customFormat="false" ht="15" hidden="false" customHeight="false" outlineLevel="0" collapsed="false">
      <c r="A29" s="567" t="s">
        <v>1222</v>
      </c>
      <c r="B29" s="568" t="s">
        <v>1223</v>
      </c>
      <c r="C29" s="570"/>
      <c r="D29" s="571"/>
      <c r="F29" s="585" t="s">
        <v>2686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2718</v>
      </c>
    </row>
    <row r="35" customFormat="false" ht="15" hidden="false" customHeight="false" outlineLevel="0" collapsed="false">
      <c r="A35" s="567" t="s">
        <v>52</v>
      </c>
      <c r="B35" s="568" t="s">
        <v>53</v>
      </c>
      <c r="C35" s="570"/>
      <c r="D35" s="571"/>
      <c r="F35" s="585" t="s">
        <v>2719</v>
      </c>
    </row>
    <row r="36" customFormat="false" ht="15" hidden="false" customHeight="false" outlineLevel="0" collapsed="false">
      <c r="A36" s="569" t="s">
        <v>320</v>
      </c>
      <c r="B36" s="568" t="s">
        <v>321</v>
      </c>
      <c r="C36" s="570"/>
      <c r="D36" s="571"/>
      <c r="F36" s="587" t="s">
        <v>2720</v>
      </c>
    </row>
    <row r="37" customFormat="false" ht="15" hidden="false" customHeight="false" outlineLevel="0" collapsed="false">
      <c r="A37" s="567" t="s">
        <v>2144</v>
      </c>
      <c r="B37" s="568" t="s">
        <v>2145</v>
      </c>
      <c r="C37" s="570"/>
      <c r="D37" s="571"/>
      <c r="F37" s="587" t="s">
        <v>2721</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2013-02-13T16:28:26Z</dcterms:modified>
  <cp:revision>0</cp:revision>
  <dc:subject/>
  <dc:title>Feuille d'aide au calcul de l'IBMR</dc:title>
</cp:coreProperties>
</file>