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erdon à Vinon sur V."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'Verdon à Vinon sur V.'!$A$1:$O$82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'Verdon à Vinon sur V.'!$A$23:$J$84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<sst xmlns="http://schemas.openxmlformats.org/spreadsheetml/2006/main" count="7382" uniqueCount="2733">
  <si>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</si>
  <si>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</si>
  <si>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</si>
  <si>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</si>
  <si>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</si>
  <si>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</si>
  <si>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</si>
  <si>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</si>
  <si>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</si>
  <si>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</si>
  <si>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</si>
  <si>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</si>
  <si>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</si>
  <si>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</si>
  <si>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</si>
  <si>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</si>
  <si>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</si>
  <si>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</si>
  <si>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</si>
  <si>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</si>
  <si>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</si>
  <si>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</si>
  <si>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</si>
  <si>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</si>
  <si>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</si>
  <si>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</si>
  <si>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</si>
  <si>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</si>
  <si>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</si>
  <si>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</si>
  <si>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</si>
  <si>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</si>
  <si>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</si>
  <si>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</si>
  <si>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</si>
  <si>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</si>
  <si>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</si>
  <si>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</si>
  <si>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</si>
  <si>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</si>
  <si>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</si>
  <si>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</si>
  <si>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</si>
  <si>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</si>
  <si>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</si>
  <si>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</si>
  <si>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</si>
  <si>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</si>
  <si>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</si>
  <si>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</si>
  <si>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</si>
  <si>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</si>
  <si>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</si>
  <si>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</si>
  <si>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</si>
  <si>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</si>
  <si>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</si>
  <si>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</si>
  <si>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</si>
  <si>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</si>
  <si>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</si>
  <si>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</si>
  <si>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</si>
  <si>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</si>
  <si>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</si>
  <si>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</si>
  <si>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</si>
  <si>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</si>
  <si>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</si>
  <si>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</si>
  <si>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</si>
  <si>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</si>
  <si>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</si>
  <si>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</si>
  <si>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</si>
  <si>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</si>
  <si>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</si>
  <si>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</si>
  <si>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</si>
  <si>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</si>
  <si>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</si>
  <si>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</si>
  <si>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</si>
  <si>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</si>
  <si>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</si>
  <si>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</si>
  <si>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</si>
  <si>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</si>
  <si>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</si>
  <si>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</si>
  <si>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</si>
  <si>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</si>
  <si>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</si>
  <si>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</si>
  <si>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</si>
  <si>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</si>
  <si>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</si>
  <si>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</si>
  <si>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</si>
  <si>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</si>
  <si>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</si>
  <si>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</si>
  <si>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</si>
  <si>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</si>
  <si>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</si>
  <si>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</si>
  <si>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</si>
  <si>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</si>
  <si>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</si>
  <si>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</si>
  <si>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</si>
  <si>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</si>
  <si>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</si>
  <si>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</si>
  <si>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</si>
  <si>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</si>
  <si>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</si>
  <si>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</si>
  <si>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</si>
  <si>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</si>
  <si>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</si>
  <si>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</si>
  <si>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</si>
  <si>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</si>
  <si>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</si>
  <si>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</si>
  <si>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</si>
  <si>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</si>
  <si>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</si>
  <si>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</si>
  <si>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</si>
  <si>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</si>
  <si>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</si>
  <si>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</si>
  <si>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</si>
  <si>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</si>
  <si>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</si>
  <si>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</si>
  <si>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</si>
  <si>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</si>
  <si>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</si>
  <si>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</si>
  <si>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</si>
  <si>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</si>
  <si>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</si>
  <si>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</si>
  <si>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</si>
  <si>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</si>
  <si>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</si>
  <si>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</si>
  <si>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</si>
  <si>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</si>
  <si>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</si>
  <si>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</si>
  <si>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</si>
  <si>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</si>
  <si>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</si>
  <si>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</si>
  <si>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</si>
  <si>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</si>
  <si>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</si>
  <si>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</si>
  <si>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</si>
  <si>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</si>
  <si>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</si>
  <si>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</si>
  <si>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</si>
  <si>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</si>
  <si>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</si>
  <si>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</si>
  <si>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</si>
  <si>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</si>
  <si>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</si>
  <si>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</si>
  <si>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</si>
  <si>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</si>
  <si>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</si>
  <si>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</si>
  <si>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</si>
  <si>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</si>
  <si>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</si>
  <si>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</si>
  <si>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</si>
  <si>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</si>
  <si>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</si>
  <si>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</si>
  <si>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</si>
  <si>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</si>
  <si>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</si>
  <si>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</si>
  <si>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</si>
  <si>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</si>
  <si>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</si>
  <si>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</si>
  <si>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</si>
  <si>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</si>
  <si>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</si>
  <si>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</si>
  <si>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</si>
  <si>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</si>
  <si>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</si>
  <si>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</si>
  <si>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</si>
  <si>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</si>
  <si>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</si>
  <si>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</si>
  <si>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</si>
  <si>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</si>
  <si>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</si>
  <si>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</si>
  <si>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</si>
  <si>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</si>
  <si>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</si>
  <si>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</si>
  <si>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</si>
  <si>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</si>
  <si>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</si>
  <si>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</si>
  <si>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</si>
  <si>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</si>
  <si>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</si>
  <si>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</si>
  <si>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</si>
  <si>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</si>
  <si>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</si>
  <si>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</si>
  <si>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</si>
  <si>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</si>
  <si>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</si>
  <si>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</si>
  <si>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</si>
  <si>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</si>
  <si>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</si>
  <si>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</si>
  <si>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</si>
  <si>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</si>
  <si>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</si>
  <si>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</si>
  <si>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</si>
  <si>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</si>
  <si>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</si>
  <si>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</si>
  <si>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</si>
  <si>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</si>
  <si>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</si>
  <si>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</si>
  <si>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</si>
  <si>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</si>
  <si>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</si>
  <si>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</si>
  <si>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</si>
  <si>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</si>
  <si>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</si>
  <si>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</si>
  <si>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</si>
  <si>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</si>
  <si>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</si>
  <si>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</si>
  <si>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</si>
  <si>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</si>
  <si>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</si>
  <si>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</si>
  <si>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</si>
  <si>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</si>
  <si>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</si>
  <si>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</si>
  <si>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</si>
  <si>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</si>
  <si>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</si>
  <si>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</si>
  <si>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</si>
  <si>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</si>
  <si>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</si>
  <si>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</si>
  <si>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</si>
  <si>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</si>
  <si>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</si>
  <si>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</si>
  <si>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</si>
  <si>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</si>
  <si>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</si>
  <si>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</si>
  <si>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</si>
  <si>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</si>
  <si>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</si>
  <si>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</si>
  <si>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</si>
  <si>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</si>
  <si>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</si>
  <si>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</si>
  <si>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</si>
  <si>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</si>
  <si>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</si>
  <si>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</si>
  <si>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</si>
  <si>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</si>
  <si>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</si>
  <si>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</si>
  <si>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</si>
  <si>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</si>
  <si>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</si>
  <si>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</si>
  <si>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</si>
  <si>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</si>
  <si>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</si>
  <si>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</si>
  <si>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</si>
  <si>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</si>
  <si>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</si>
  <si>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</si>
  <si>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</si>
  <si>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</si>
  <si>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</si>
  <si>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</si>
  <si>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</si>
  <si>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</si>
  <si>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</si>
  <si>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</si>
  <si>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</si>
  <si>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</si>
  <si>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</si>
  <si>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</si>
  <si>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</si>
  <si>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</si>
  <si>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</si>
  <si>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</si>
  <si>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</si>
  <si>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</si>
  <si>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</si>
  <si>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</si>
  <si>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</si>
  <si>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</si>
  <si>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</si>
  <si>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</si>
  <si>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</si>
  <si>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</si>
  <si>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</si>
  <si>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</si>
  <si>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</si>
  <si>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</si>
  <si>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</si>
  <si>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</si>
  <si>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</si>
  <si>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</si>
  <si>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</si>
  <si>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</si>
  <si>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</si>
  <si>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</si>
  <si>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</si>
  <si>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</si>
  <si>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</si>
  <si>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</si>
  <si>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</si>
  <si>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</si>
  <si>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</si>
  <si>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</si>
  <si>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</si>
  <si>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</si>
  <si>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</si>
  <si>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</si>
  <si>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</si>
  <si>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</si>
  <si>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</si>
  <si>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</si>
  <si>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</si>
  <si>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</si>
  <si>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</si>
  <si>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</si>
  <si>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</si>
  <si>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</si>
  <si>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</si>
  <si>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</si>
  <si>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</si>
  <si>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</si>
  <si>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</si>
  <si>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</si>
  <si>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</si>
  <si>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</si>
  <si>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</si>
  <si>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</si>
  <si>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</si>
  <si>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</si>
  <si>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</si>
  <si>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</si>
  <si>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</si>
  <si>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</si>
  <si>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</si>
  <si>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</si>
  <si>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</si>
  <si>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</si>
  <si>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</si>
  <si>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</si>
  <si>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</si>
  <si>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</si>
  <si>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</si>
  <si>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</si>
  <si>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</si>
  <si>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</si>
  <si>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</si>
  <si>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</si>
  <si>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</si>
  <si>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</si>
  <si>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</si>
  <si>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</si>
  <si>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</si>
  <si>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</si>
  <si>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</si>
  <si>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</si>
  <si>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</si>
  <si>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</si>
  <si>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</si>
  <si>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</si>
  <si>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</si>
  <si>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</si>
  <si>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</si>
  <si>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</si>
  <si>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</si>
  <si>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</si>
  <si>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</si>
  <si>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</si>
  <si>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</si>
  <si>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</si>
  <si>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</si>
  <si>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</si>
  <si>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</si>
  <si>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</si>
  <si>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</si>
  <si>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</si>
  <si>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</si>
  <si>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</si>
  <si>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</si>
  <si>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</si>
  <si>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</si>
  <si>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</si>
  <si>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</si>
  <si>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</si>
  <si>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</si>
  <si>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</si>
  <si>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</si>
  <si>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</si>
  <si>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</si>
  <si>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</si>
  <si>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</si>
  <si>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</si>
  <si>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</si>
  <si>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</si>
  <si>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</si>
  <si>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</si>
  <si>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</si>
  <si>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</si>
  <si>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</si>
  <si>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</si>
  <si>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</si>
  <si>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</si>
  <si>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</si>
  <si>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</si>
  <si>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</si>
  <si>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</si>
  <si>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</si>
  <si>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</si>
  <si>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</si>
  <si>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</si>
  <si>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</si>
  <si>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</si>
  <si>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</si>
  <si>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</si>
  <si>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</si>
  <si>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</si>
  <si>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</si>
  <si>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</si>
  <si>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</si>
  <si>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</si>
  <si>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</si>
  <si>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</si>
  <si>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</si>
  <si>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</si>
  <si>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</si>
  <si>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</si>
  <si>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</si>
  <si>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</si>
  <si>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</si>
  <si>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</si>
  <si>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</si>
  <si>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</si>
  <si>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</si>
  <si>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</si>
  <si>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</si>
  <si>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</si>
  <si>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</si>
  <si>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</si>
  <si>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</si>
  <si>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</si>
  <si>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</si>
  <si>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</si>
  <si>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</si>
  <si>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</si>
  <si>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</si>
  <si>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</si>
  <si>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</si>
  <si>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</si>
  <si>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</si>
  <si>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</si>
  <si>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</si>
  <si>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</si>
  <si>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</si>
  <si>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</si>
  <si>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</si>
  <si>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</si>
  <si>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</si>
  <si>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</si>
  <si>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</si>
  <si>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</si>
  <si>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</si>
  <si>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</si>
  <si>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</si>
  <si>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</si>
  <si>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</si>
  <si>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</si>
  <si>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</si>
  <si>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</si>
  <si>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</si>
  <si>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</si>
  <si>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</si>
  <si>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</si>
  <si>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</si>
  <si>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</si>
  <si>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</si>
  <si>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</si>
  <si>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</si>
  <si>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</si>
  <si>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</si>
  <si>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</si>
  <si>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</si>
  <si>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</si>
  <si>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</si>
  <si>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</si>
  <si>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</si>
  <si>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</si>
  <si>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</si>
  <si>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</si>
  <si>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</si>
  <si>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</si>
  <si>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</si>
  <si>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</si>
  <si>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</si>
  <si>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</si>
  <si>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</si>
  <si>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</si>
  <si>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</si>
  <si>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</si>
  <si>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</si>
  <si>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</si>
  <si>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</si>
  <si>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</si>
  <si>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</si>
  <si>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</si>
  <si>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</si>
  <si>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</si>
  <si>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</si>
  <si>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</si>
  <si>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</si>
  <si>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</si>
  <si>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</si>
  <si>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</si>
  <si>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</si>
  <si>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</si>
  <si>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</si>
  <si>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</si>
  <si>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</si>
  <si>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</si>
  <si>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</si>
  <si>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</si>
  <si>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</si>
  <si>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</si>
  <si>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</si>
  <si>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</si>
  <si>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</si>
  <si>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</si>
  <si>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</si>
  <si>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</si>
  <si>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</si>
  <si>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</si>
  <si>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</si>
  <si>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</si>
  <si>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</si>
  <si>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</si>
  <si>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</si>
  <si>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</si>
  <si>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</si>
  <si>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</si>
  <si>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</si>
  <si>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</si>
  <si>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</si>
  <si>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</si>
  <si>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</si>
  <si>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</si>
  <si>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</si>
  <si>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</si>
  <si>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</si>
  <si>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</si>
  <si>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</si>
  <si>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</si>
  <si>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</si>
  <si>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</si>
  <si>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</si>
  <si>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</si>
  <si>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</si>
  <si>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</si>
  <si>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</si>
  <si>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</si>
  <si>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</si>
  <si>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</si>
  <si>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</si>
  <si>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</si>
  <si>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</si>
  <si>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</si>
  <si>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</si>
  <si>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</si>
  <si>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</si>
  <si>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</si>
  <si>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</si>
  <si>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</si>
  <si>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</si>
  <si>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</si>
  <si>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</si>
  <si>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</si>
  <si>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</si>
  <si>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</si>
  <si>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</si>
  <si>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</si>
  <si>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</si>
  <si>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</si>
  <si>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</si>
  <si>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</si>
  <si>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</si>
  <si>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</si>
  <si>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</si>
  <si>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</si>
  <si>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</si>
  <si>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</si>
  <si>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</si>
  <si>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</si>
  <si>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</si>
  <si>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</si>
  <si>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</si>
  <si>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</si>
  <si>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</si>
  <si>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</si>
  <si>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</si>
  <si>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</si>
  <si>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</si>
  <si>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</si>
  <si>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</si>
  <si>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</si>
  <si>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</si>
  <si>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</si>
  <si>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</si>
  <si>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</si>
  <si>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</si>
  <si>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</si>
  <si>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</si>
  <si>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</si>
  <si>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</si>
  <si>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</si>
  <si>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</si>
  <si>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</si>
  <si>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</si>
  <si>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</si>
  <si>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</si>
  <si>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</si>
  <si>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</si>
  <si>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</si>
  <si>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</si>
  <si>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</si>
  <si>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</si>
  <si>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</si>
  <si>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</si>
  <si>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</si>
  <si>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</si>
  <si>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</si>
  <si>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</si>
  <si>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</si>
  <si>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</si>
  <si>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</si>
  <si>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</si>
  <si>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</si>
  <si>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</si>
  <si>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</si>
  <si>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</si>
  <si>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</si>
  <si>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</si>
  <si>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</si>
  <si>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</si>
  <si>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</si>
  <si>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</si>
  <si>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</si>
  <si>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</si>
  <si>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</si>
  <si>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</si>
  <si>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</si>
  <si>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</si>
  <si>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</si>
  <si>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</si>
  <si>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</si>
  <si>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</si>
  <si>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</si>
  <si>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</si>
  <si>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</si>
  <si>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</si>
  <si>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</si>
  <si>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</si>
  <si>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</si>
  <si>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</si>
  <si>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</si>
  <si>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</si>
  <si>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</si>
  <si>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</si>
  <si>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</si>
  <si>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</si>
  <si>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</si>
  <si>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</si>
  <si>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</si>
  <si>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</si>
  <si>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</si>
  <si>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</si>
  <si>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</si>
  <si>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</si>
  <si>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</si>
  <si>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</si>
  <si>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</si>
  <si>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</si>
  <si>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</si>
  <si>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</si>
  <si>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</si>
  <si>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</si>
  <si>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</si>
  <si>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</si>
  <si>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</si>
  <si>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</si>
  <si>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</si>
  <si>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</si>
  <si>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</si>
  <si>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</si>
  <si>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</si>
  <si>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</si>
  <si>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</si>
  <si>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</si>
  <si>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</si>
  <si>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</si>
  <si>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</si>
  <si>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</si>
  <si>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</si>
  <si>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</si>
  <si>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</si>
  <si>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</si>
  <si>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</si>
  <si>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</si>
  <si>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</si>
  <si>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</si>
  <si>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</si>
  <si>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</si>
  <si>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</si>
  <si>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</si>
  <si>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</si>
  <si>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</si>
  <si>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</si>
  <si>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</si>
  <si>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</si>
  <si>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</si>
  <si>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</si>
  <si>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</si>
  <si>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</si>
  <si>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</si>
  <si>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</si>
  <si>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</si>
  <si>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</si>
  <si>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</si>
  <si>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</si>
  <si>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</si>
  <si>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</si>
  <si>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</si>
  <si>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</si>
  <si>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</si>
  <si>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</si>
  <si>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</si>
  <si>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</si>
  <si>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</si>
  <si>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</si>
  <si>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</si>
  <si>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</si>
  <si>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</si>
  <si>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</si>
  <si>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</si>
  <si>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</si>
  <si>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</si>
  <si>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</si>
  <si>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</si>
  <si>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</si>
  <si>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</si>
  <si>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</si>
  <si>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</si>
  <si>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</si>
  <si>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</si>
  <si>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</si>
  <si>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</si>
  <si>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</si>
  <si>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</si>
  <si>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</si>
  <si>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</si>
  <si>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</si>
  <si>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</si>
  <si>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</si>
  <si>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</si>
  <si>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</si>
  <si>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</si>
  <si>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</si>
  <si>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</si>
  <si>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</si>
  <si>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</si>
  <si>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</si>
  <si>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</si>
  <si>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</si>
  <si>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</si>
  <si>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</si>
  <si>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</si>
  <si>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</si>
  <si>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</si>
  <si>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</si>
  <si>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</si>
  <si>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</si>
  <si>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</si>
  <si>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</si>
  <si>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</si>
  <si>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</si>
  <si>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</si>
  <si>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</si>
  <si>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</si>
  <si>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</si>
  <si>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</si>
  <si>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</si>
  <si>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</si>
  <si>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</si>
  <si>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</si>
  <si>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</si>
  <si>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</si>
  <si>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</si>
  <si>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</si>
  <si>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</si>
  <si>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</si>
  <si>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</si>
  <si>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</si>
  <si>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</si>
  <si>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</si>
  <si>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</si>
  <si>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</si>
  <si>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</si>
  <si>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</si>
  <si>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</si>
  <si>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</si>
  <si>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</si>
  <si>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</si>
  <si>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</si>
  <si>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</si>
  <si>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</si>
  <si>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</si>
  <si>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</si>
  <si>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</si>
  <si>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</si>
  <si>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</si>
  <si>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</si>
  <si>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</si>
  <si>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</si>
  <si>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</si>
  <si>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</si>
  <si>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</si>
  <si>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</si>
  <si>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</si>
  <si>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</si>
  <si>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</si>
  <si>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</si>
  <si>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</si>
  <si>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</si>
  <si>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</si>
  <si>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</si>
  <si>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</si>
  <si>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</si>
  <si>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</si>
  <si>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</si>
  <si>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</si>
  <si>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</si>
  <si>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</si>
  <si>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</si>
  <si>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</si>
  <si>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</si>
  <si>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</si>
  <si>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</si>
  <si>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</si>
  <si>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</si>
  <si>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</si>
  <si>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</si>
  <si>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</si>
  <si>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</si>
  <si>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</si>
  <si>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</si>
  <si>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</si>
  <si>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</si>
  <si>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</si>
  <si>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</si>
  <si>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</si>
  <si>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</si>
  <si>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</si>
  <si>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</si>
  <si>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</si>
  <si>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</si>
  <si>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</si>
  <si>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</si>
  <si>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</si>
  <si>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</si>
  <si>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</si>
  <si>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</si>
  <si>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</si>
  <si>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</si>
  <si>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</si>
  <si>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</si>
  <si>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</si>
  <si>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</si>
  <si>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</si>
  <si>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</si>
  <si>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</si>
  <si>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</si>
  <si>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</si>
  <si>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</si>
  <si>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</si>
  <si>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</si>
  <si>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</si>
  <si>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</si>
  <si>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</si>
  <si>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</si>
  <si>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</si>
  <si>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</si>
  <si>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</si>
  <si>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</si>
  <si>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</si>
  <si>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</si>
  <si>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</si>
  <si>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</si>
  <si>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</si>
  <si>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</si>
  <si>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</si>
  <si>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</si>
  <si>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</si>
  <si>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</si>
  <si>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</si>
  <si>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</si>
  <si>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</si>
  <si>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</si>
  <si>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</si>
  <si>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</si>
  <si>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</si>
  <si>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</si>
  <si>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</si>
  <si>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</si>
  <si>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</si>
  <si>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</si>
  <si>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</si>
  <si>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</si>
  <si>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</si>
  <si>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</si>
  <si>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</si>
  <si>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</si>
  <si>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</si>
  <si>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</si>
  <si>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</si>
  <si>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</si>
  <si>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</si>
  <si>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</si>
  <si>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</si>
  <si>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</si>
  <si>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</si>
  <si>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</si>
  <si>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</si>
  <si>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</si>
  <si>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</si>
  <si>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</si>
  <si>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</si>
  <si>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</si>
  <si>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</si>
  <si>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</si>
  <si>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</si>
  <si>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</si>
  <si>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</si>
  <si>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</si>
  <si>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</si>
  <si>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</si>
  <si>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</si>
  <si>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</si>
  <si>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</si>
  <si>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</si>
  <si>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</si>
  <si>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</si>
  <si>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</si>
  <si>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</si>
  <si>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</si>
  <si>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</si>
  <si>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</si>
  <si>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</si>
  <si>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</si>
  <si>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</si>
  <si>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</si>
  <si>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</si>
  <si>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</si>
  <si>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</si>
  <si>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</si>
  <si>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</si>
  <si>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</si>
  <si>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</si>
  <si>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</si>
  <si>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</si>
  <si>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</si>
  <si>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</si>
  <si>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</si>
  <si>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</si>
  <si>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</si>
  <si>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</si>
  <si>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</si>
  <si>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</si>
  <si>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</si>
  <si>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</si>
  <si>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</si>
  <si>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</si>
  <si>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</si>
  <si>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</si>
  <si>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</si>
  <si>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</si>
  <si>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</si>
  <si>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</si>
  <si>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</si>
  <si>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</si>
  <si>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</si>
  <si>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</si>
  <si>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</si>
  <si>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</si>
  <si>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</si>
  <si>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</si>
  <si>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</si>
  <si>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</si>
  <si>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</si>
  <si>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</si>
  <si>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</si>
  <si>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</si>
  <si>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</si>
  <si>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</si>
  <si>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</si>
  <si>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</si>
  <si>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</si>
  <si>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</si>
  <si>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</si>
  <si>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</si>
  <si>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</si>
  <si>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</si>
  <si>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</si>
  <si>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</si>
  <si>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</si>
  <si>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</si>
  <si>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</si>
  <si>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</si>
  <si>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</si>
  <si>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</si>
  <si>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</si>
  <si>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</si>
  <si>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</si>
  <si>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</si>
  <si>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</si>
  <si>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</si>
  <si>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</si>
  <si>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</si>
  <si>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</si>
  <si>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</si>
  <si>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</si>
  <si>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</si>
  <si>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</si>
  <si>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</si>
  <si>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</si>
  <si>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</si>
  <si>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</si>
  <si>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</si>
  <si>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</si>
  <si>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</si>
  <si>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</si>
  <si>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</si>
  <si>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</si>
  <si>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</si>
  <si>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</si>
  <si>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</si>
  <si>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</si>
  <si>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</si>
  <si>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</si>
  <si>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</si>
  <si>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</si>
  <si>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</si>
  <si>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</si>
  <si>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</si>
  <si>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</si>
  <si>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</si>
  <si>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</si>
  <si>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</si>
  <si>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</si>
  <si>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</si>
  <si>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</si>
  <si>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</si>
  <si>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</si>
  <si>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</si>
  <si>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</si>
  <si>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</si>
  <si>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</si>
  <si>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</si>
  <si>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</si>
  <si>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</si>
  <si>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</si>
  <si>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</si>
  <si>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</si>
  <si>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</si>
  <si>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</si>
  <si>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</si>
  <si>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</si>
  <si>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</si>
  <si>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</si>
  <si>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</si>
  <si>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</si>
  <si>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</si>
  <si>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</si>
  <si>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</si>
  <si>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</si>
  <si>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</si>
  <si>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</si>
  <si>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</si>
  <si>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</si>
  <si>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</si>
  <si>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</si>
  <si>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</si>
  <si>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</si>
  <si>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</si>
  <si>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</si>
  <si>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</si>
  <si>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</si>
  <si>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</si>
  <si>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</si>
  <si>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</si>
  <si>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</si>
  <si>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</si>
  <si>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</si>
  <si>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</si>
  <si>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</si>
  <si>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</si>
  <si>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</si>
  <si>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</si>
  <si>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</si>
  <si>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</si>
  <si>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</si>
  <si>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</si>
  <si>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</si>
  <si>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</si>
  <si>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</si>
  <si>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</si>
  <si>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</si>
  <si>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</si>
  <si>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</si>
  <si>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</si>
  <si>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</si>
  <si>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</si>
  <si>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</si>
  <si>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</si>
  <si>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</si>
  <si>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</si>
  <si>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</si>
  <si>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</si>
  <si>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</si>
  <si>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</si>
  <si>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</si>
  <si>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</si>
  <si>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</si>
  <si>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</si>
  <si>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</si>
  <si>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</si>
  <si>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</si>
  <si>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</si>
  <si>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</si>
  <si>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</si>
  <si>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</si>
  <si>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</si>
  <si>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</si>
  <si>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</si>
  <si>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</si>
  <si>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</si>
  <si>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</si>
  <si>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</si>
  <si>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</si>
  <si>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</si>
  <si>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</si>
  <si>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</si>
  <si>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</si>
  <si>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</si>
  <si>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</si>
  <si>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</si>
  <si>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</si>
  <si>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</si>
  <si>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</si>
  <si>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</si>
  <si>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</si>
  <si>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</si>
  <si>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</si>
  <si>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</si>
  <si>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</si>
  <si>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</si>
  <si>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</si>
  <si>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</si>
  <si>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</si>
  <si>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</si>
  <si>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</si>
  <si>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</si>
  <si>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</si>
  <si>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</si>
  <si>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</si>
  <si>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</si>
  <si>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</si>
  <si>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</si>
  <si>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</si>
  <si>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</si>
  <si>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</si>
  <si>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</si>
  <si>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</si>
  <si>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</si>
  <si>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</si>
  <si>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</si>
  <si>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</si>
  <si>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</si>
  <si>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</si>
  <si>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</si>
  <si>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</si>
  <si>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</si>
  <si>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</si>
  <si>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</si>
  <si>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</si>
  <si>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</si>
  <si>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</si>
  <si>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</si>
  <si>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</si>
  <si>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</si>
  <si>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</si>
  <si>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</si>
  <si>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</si>
  <si>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</si>
  <si>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</si>
  <si>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</si>
  <si>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</si>
  <si>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</si>
  <si>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</si>
  <si>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</si>
  <si>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</si>
  <si>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</si>
  <si>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</si>
  <si>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</si>
  <si>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</si>
  <si>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</si>
  <si>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</si>
  <si>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</si>
  <si>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</si>
  <si>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</si>
  <si>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</si>
  <si>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</si>
  <si>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</si>
  <si>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</si>
  <si>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</si>
  <si>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</si>
  <si>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</si>
  <si>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</si>
  <si>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</si>
  <si>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</si>
  <si>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</si>
  <si>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</si>
  <si>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</si>
  <si>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</si>
  <si>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</si>
  <si>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</si>
  <si>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</si>
  <si>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</si>
  <si>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</si>
  <si>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</si>
  <si>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</si>
  <si>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</si>
  <si>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</si>
  <si>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</si>
  <si>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</si>
  <si>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</si>
  <si>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</si>
  <si>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</si>
  <si>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</si>
  <si>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</si>
  <si>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</si>
  <si>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</si>
  <si>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</si>
  <si>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</si>
  <si>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</si>
  <si>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</si>
  <si>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</si>
  <si>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</si>
  <si>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</si>
  <si>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</si>
  <si>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</si>
  <si>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</si>
  <si>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</si>
  <si>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</si>
  <si>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</si>
  <si>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</si>
  <si>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</si>
  <si>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</si>
  <si>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</si>
  <si>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</si>
  <si>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</si>
  <si>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</si>
  <si>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</si>
  <si>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</si>
  <si>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</si>
  <si>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</si>
  <si>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</si>
  <si>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</si>
  <si>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</si>
  <si>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</si>
  <si>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</si>
  <si>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</si>
  <si>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</si>
  <si>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</si>
  <si>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</si>
  <si>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</si>
  <si>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</si>
  <si>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</si>
  <si>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</si>
  <si>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</si>
  <si>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</si>
  <si>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</si>
  <si>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</si>
  <si>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</si>
  <si>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</si>
  <si>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</si>
  <si>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</si>
  <si>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</si>
  <si>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</si>
  <si>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</si>
  <si>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</si>
  <si>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</si>
  <si>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</si>
  <si>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</si>
  <si>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</si>
  <si>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</si>
  <si>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</si>
  <si>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</si>
  <si>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</si>
  <si>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</si>
  <si>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</si>
  <si>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</si>
  <si>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</si>
  <si>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</si>
  <si>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</si>
  <si>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</si>
  <si>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</si>
  <si>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</si>
  <si>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</si>
  <si>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</si>
  <si>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</si>
  <si>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</si>
  <si>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</si>
  <si>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</si>
  <si>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</si>
  <si>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</si>
  <si>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</si>
  <si>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</si>
  <si>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</si>
  <si>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</si>
  <si>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</si>
  <si>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</si>
  <si>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</si>
  <si>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</si>
  <si>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</si>
  <si>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</si>
  <si>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</si>
  <si>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</si>
  <si>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</si>
  <si>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</si>
  <si>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</si>
  <si>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</si>
  <si>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</si>
  <si>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</si>
  <si>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</si>
  <si>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</si>
  <si>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</si>
  <si>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</si>
  <si>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</si>
  <si>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</si>
  <si>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</si>
  <si>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</si>
  <si>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</si>
  <si>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</si>
  <si>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</si>
  <si>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</si>
  <si>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</si>
  <si>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</si>
  <si>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</si>
  <si>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</si>
  <si>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</si>
  <si>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</si>
  <si>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</si>
  <si>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</si>
  <si>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</si>
  <si>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</si>
  <si>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</si>
  <si>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</si>
  <si>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</si>
  <si>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</si>
  <si>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</si>
  <si>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</si>
  <si>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</si>
  <si>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</si>
  <si>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</si>
  <si>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</si>
  <si>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</si>
  <si>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</si>
  <si>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</si>
  <si>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</si>
  <si>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</si>
  <si>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</si>
  <si>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</si>
  <si>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</si>
  <si>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</si>
  <si>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</si>
  <si>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</si>
  <si>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</si>
  <si>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</si>
  <si>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</si>
  <si>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</si>
  <si>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</si>
  <si>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</si>
  <si>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</si>
  <si>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</si>
  <si>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</si>
  <si>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</si>
  <si>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</si>
  <si>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</si>
  <si>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</si>
  <si>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</si>
  <si>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</si>
  <si>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</si>
  <si>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</si>
  <si>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</si>
  <si>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</si>
  <si>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</si>
  <si>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</si>
  <si>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</si>
  <si>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</si>
  <si>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</si>
  <si>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</si>
  <si>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</si>
  <si>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</si>
  <si>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</si>
  <si>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</si>
  <si>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</si>
  <si>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</si>
  <si>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</si>
  <si>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</si>
  <si>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</si>
  <si>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</si>
  <si>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</si>
  <si>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</si>
  <si>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</si>
  <si>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</si>
  <si>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</si>
  <si>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</si>
  <si>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</si>
  <si>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</si>
  <si>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</si>
  <si>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</si>
  <si>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</si>
  <si>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</si>
  <si>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</si>
  <si>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</si>
  <si>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</si>
  <si>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</si>
  <si>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</si>
  <si>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</si>
  <si>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</si>
  <si>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</si>
  <si>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</si>
  <si>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</si>
  <si>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</si>
  <si>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</si>
  <si>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</si>
  <si>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</si>
  <si>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</si>
  <si>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</si>
  <si>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</si>
  <si>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</si>
  <si>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</si>
  <si>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</si>
  <si>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</si>
  <si>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</si>
  <si>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</si>
  <si>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</si>
  <si>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</si>
  <si>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</si>
  <si>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</si>
  <si>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</si>
  <si>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</si>
  <si>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</si>
  <si>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</si>
  <si>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</si>
  <si>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</si>
  <si>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</si>
  <si>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</si>
  <si>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</si>
  <si>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</si>
  <si>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</si>
  <si>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</si>
  <si>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</si>
  <si>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</si>
  <si>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</si>
  <si>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</si>
  <si>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</si>
  <si>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</si>
  <si>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</si>
  <si>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</si>
  <si>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</si>
  <si>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</si>
  <si>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</si>
  <si>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</si>
  <si>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</si>
  <si>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</si>
  <si>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</si>
  <si>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</si>
  <si>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</si>
  <si>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</si>
  <si>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</si>
  <si>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</si>
  <si>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</si>
  <si>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</si>
  <si>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</si>
  <si>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</si>
  <si>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</si>
  <si>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</si>
  <si>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</si>
  <si>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</si>
  <si>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</si>
  <si>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</si>
  <si>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</si>
  <si>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</si>
  <si>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</si>
  <si>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</si>
  <si>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</si>
  <si>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</si>
  <si>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</si>
  <si>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</si>
  <si>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</si>
  <si>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</si>
  <si>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</si>
  <si>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</si>
  <si>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</si>
  <si>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</si>
  <si>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</si>
  <si>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</si>
  <si>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</si>
  <si>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</si>
  <si>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</si>
  <si>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</si>
  <si>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</si>
  <si>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</si>
  <si>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</si>
  <si>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</si>
  <si>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</si>
  <si>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</si>
  <si>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</si>
  <si>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</si>
  <si>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</si>
  <si>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</si>
  <si>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</si>
  <si>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</si>
  <si>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</si>
  <si>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</si>
  <si>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</si>
  <si>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</si>
  <si>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</si>
  <si>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</si>
  <si>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</si>
  <si>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</si>
  <si>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</si>
  <si>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</si>
  <si>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</si>
  <si>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</si>
  <si>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</si>
  <si>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</si>
  <si>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</si>
  <si>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</si>
  <si>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</si>
  <si>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</si>
  <si>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</si>
  <si>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</si>
  <si>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</si>
  <si>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</si>
  <si>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</si>
  <si>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</si>
  <si>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</si>
  <si>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</si>
  <si>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</si>
  <si>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</si>
  <si>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</si>
  <si>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</si>
  <si>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</si>
  <si>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</si>
  <si>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</si>
  <si>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</si>
  <si>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</si>
  <si>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</si>
  <si>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</si>
  <si>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</si>
  <si>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</si>
  <si>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</si>
  <si>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</si>
  <si>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</si>
  <si>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</si>
  <si>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</si>
  <si>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</si>
  <si>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</si>
  <si>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</si>
  <si>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</si>
  <si>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</si>
  <si>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</si>
  <si>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</si>
  <si>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</si>
  <si>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</si>
  <si>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</si>
  <si>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</si>
  <si>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</si>
  <si>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</si>
  <si>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</si>
  <si>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</si>
  <si>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</si>
  <si>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</si>
  <si>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</si>
  <si>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</si>
  <si>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</si>
  <si>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</si>
  <si>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</si>
  <si>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</si>
  <si>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</si>
  <si>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</si>
  <si>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</si>
  <si>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</si>
  <si>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</si>
  <si>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</si>
  <si>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</si>
  <si>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</si>
  <si>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</si>
  <si>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</si>
  <si>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</si>
  <si>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</si>
  <si>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</si>
  <si>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</si>
  <si>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</si>
  <si>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</si>
  <si>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</si>
  <si>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</si>
  <si>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</si>
  <si>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</si>
  <si>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</si>
  <si>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</si>
  <si>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</si>
  <si>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</si>
  <si>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</si>
  <si>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</si>
  <si>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</si>
  <si>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</si>
  <si>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</si>
  <si>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</si>
  <si>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</si>
  <si>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</si>
  <si>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</si>
  <si>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</si>
  <si>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</si>
  <si>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</si>
  <si>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</si>
  <si>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</si>
  <si>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</si>
  <si>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</si>
  <si>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</si>
  <si>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</si>
  <si>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</si>
  <si>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</si>
  <si>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</si>
  <si>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</si>
  <si>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</si>
  <si>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</si>
  <si>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</si>
  <si>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</si>
  <si>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</si>
  <si>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</si>
  <si>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</si>
  <si>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</si>
  <si>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</si>
  <si>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</si>
  <si>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</si>
  <si>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</si>
  <si>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</si>
  <si>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</si>
  <si>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</si>
  <si>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</si>
  <si>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</si>
  <si>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</si>
  <si>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</si>
  <si>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</si>
  <si>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</si>
  <si>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</si>
  <si>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</si>
  <si>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</si>
  <si>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</si>
  <si>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</si>
  <si>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</si>
  <si>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</si>
  <si>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</si>
  <si>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</si>
  <si>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</si>
  <si>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</si>
  <si>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</si>
  <si>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</si>
  <si>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</si>
  <si>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</si>
  <si>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</si>
  <si>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</si>
  <si>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</si>
  <si>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</si>
  <si>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</si>
  <si>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</si>
  <si>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</si>
  <si>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</si>
  <si>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</si>
  <si>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</si>
  <si>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</si>
  <si>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</si>
  <si>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</si>
  <si>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</si>
  <si>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</si>
  <si>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</si>
  <si>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</si>
  <si>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</si>
  <si>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</si>
  <si>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</si>
  <si>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</si>
  <si>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</si>
  <si>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</si>
  <si>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</si>
  <si>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</si>
  <si>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</si>
  <si>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</si>
  <si>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</si>
  <si>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</si>
  <si>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</si>
  <si>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</si>
  <si>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</si>
  <si>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</si>
  <si>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</si>
  <si>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</si>
  <si>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</si>
  <si>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</si>
  <si>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</si>
  <si>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</si>
  <si>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</si>
  <si>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</si>
  <si>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</si>
  <si>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</si>
  <si>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</si>
  <si>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</si>
  <si>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</si>
  <si>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</si>
  <si>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</si>
  <si>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</si>
  <si>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</si>
  <si>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</si>
  <si>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</si>
  <si>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</si>
  <si>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</si>
  <si>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</si>
  <si>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</si>
  <si>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</si>
  <si>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</si>
  <si>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</si>
  <si>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</si>
  <si>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</si>
  <si>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</si>
  <si>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</si>
  <si>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</si>
  <si>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</si>
  <si>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</si>
  <si>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</si>
  <si>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</si>
  <si>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</si>
  <si>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</si>
  <si>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</si>
  <si>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</si>
  <si>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</si>
  <si>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</si>
  <si>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</si>
  <si>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</si>
  <si>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</si>
  <si>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</si>
  <si>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</si>
  <si>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</si>
  <si>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</si>
  <si>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</si>
  <si>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</si>
  <si>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</si>
  <si>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</si>
  <si>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</si>
  <si>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</si>
  <si>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</si>
  <si>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</si>
  <si>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</si>
  <si>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</si>
  <si>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</si>
  <si>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</si>
  <si>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</si>
  <si>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</si>
  <si>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</si>
  <si>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</si>
  <si>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</si>
  <si>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</si>
  <si>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</si>
  <si>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</si>
  <si>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</si>
  <si>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</si>
  <si>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</si>
  <si>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</si>
  <si>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</si>
  <si>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</si>
  <si>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</si>
  <si>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</si>
  <si>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</si>
  <si>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</si>
  <si>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</si>
  <si>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</si>
  <si>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</si>
  <si>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</si>
  <si>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</si>
  <si>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</si>
  <si>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</si>
  <si>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</si>
  <si>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</si>
  <si>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</si>
  <si>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</si>
  <si>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</si>
  <si>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</si>
  <si>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</si>
  <si>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</si>
  <si>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</si>
  <si>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</si>
  <si>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</si>
  <si>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</si>
  <si>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</si>
  <si>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</si>
  <si>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</si>
  <si>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</si>
  <si>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</si>
  <si>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</si>
  <si>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</si>
  <si>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</si>
  <si>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</si>
  <si>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</si>
  <si>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</si>
  <si>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</si>
  <si>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</si>
  <si>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</si>
  <si>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</si>
  <si>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</si>
  <si>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</si>
  <si>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</si>
  <si>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</si>
  <si>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</si>
  <si>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</si>
  <si>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</si>
  <si>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</si>
  <si>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</si>
  <si>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</si>
  <si>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</si>
  <si>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</si>
  <si>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</si>
  <si>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</si>
  <si>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</si>
  <si>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</si>
  <si>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</si>
  <si>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</si>
  <si>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</si>
  <si>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</si>
  <si>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</si>
  <si>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</si>
  <si>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</si>
  <si>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</si>
  <si>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</si>
  <si>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</si>
  <si>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</si>
  <si>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</si>
  <si>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</si>
  <si>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</si>
  <si>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</si>
  <si>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</si>
  <si>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</si>
  <si>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</si>
  <si>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</si>
  <si>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</si>
  <si>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</si>
  <si>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</si>
  <si>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</si>
  <si>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</si>
  <si>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</si>
  <si>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</si>
  <si>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</si>
  <si>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</si>
  <si>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</si>
  <si>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</si>
  <si>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</si>
  <si>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</si>
  <si>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</si>
  <si>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</si>
  <si>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</si>
  <si>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</si>
  <si>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</si>
  <si>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</si>
  <si>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</si>
  <si>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</si>
  <si>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</si>
  <si>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</si>
  <si>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</si>
  <si>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</si>
  <si>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</si>
  <si>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</si>
  <si>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</si>
  <si>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</si>
  <si>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</si>
  <si>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</si>
  <si>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</si>
  <si>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</si>
  <si>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</si>
  <si>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</si>
  <si>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</si>
  <si>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</si>
  <si>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</si>
  <si>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</si>
  <si>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</si>
  <si>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</si>
  <si>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</si>
  <si>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</si>
  <si>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</si>
  <si>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</si>
  <si>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</si>
  <si>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</si>
  <si>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</si>
  <si>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</si>
  <si>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</si>
  <si>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</si>
  <si>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</si>
  <si>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</si>
  <si>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</si>
  <si>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</si>
  <si>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</si>
  <si>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</si>
  <si>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</si>
  <si>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</si>
  <si>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</si>
  <si>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</si>
  <si>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</si>
  <si>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</si>
  <si>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</si>
  <si>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</si>
  <si>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</si>
  <si>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</si>
  <si>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</si>
  <si>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</si>
  <si>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</si>
  <si>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</si>
  <si>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</si>
  <si>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</si>
  <si>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</si>
  <si>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</si>
  <si>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</si>
  <si>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</si>
  <si>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</si>
  <si>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</si>
  <si>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</si>
  <si>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</si>
  <si>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</si>
  <si>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</si>
  <si>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</si>
  <si>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</si>
  <si>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</si>
  <si>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</si>
  <si>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</si>
  <si>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</si>
  <si>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</si>
  <si>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</si>
  <si>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</si>
  <si>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</si>
  <si>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</si>
  <si>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</si>
  <si>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</si>
  <si>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</si>
  <si>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</si>
  <si>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</si>
  <si>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</si>
  <si>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</si>
  <si>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</si>
  <si>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</si>
  <si>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</si>
  <si>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</si>
  <si>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</si>
  <si>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</si>
  <si>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</si>
  <si>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</si>
  <si>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</si>
  <si>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</si>
  <si>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</si>
  <si>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</si>
  <si>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</si>
  <si>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</si>
  <si>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</si>
  <si>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</si>
  <si>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</si>
  <si>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</si>
  <si>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</si>
  <si>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</si>
  <si>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</si>
  <si>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</si>
  <si>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</si>
  <si>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</si>
  <si>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</si>
  <si>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</si>
  <si>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</si>
  <si>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</si>
  <si>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</si>
  <si>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</si>
  <si>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</si>
  <si>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</si>
  <si>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</si>
  <si>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</si>
  <si>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</si>
  <si>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</si>
  <si>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</si>
  <si>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</si>
  <si>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</si>
  <si>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</si>
  <si>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</si>
  <si>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</si>
  <si>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</si>
  <si>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</si>
  <si>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</si>
  <si>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</si>
  <si>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</si>
  <si>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</si>
  <si>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</si>
  <si>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</si>
  <si>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</si>
  <si>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</si>
  <si>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</si>
  <si>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</si>
  <si>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</si>
  <si>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</si>
  <si>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</si>
  <si>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</si>
  <si>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</si>
  <si>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</si>
  <si>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</si>
  <si>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</si>
  <si>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</si>
  <si>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</si>
  <si>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</si>
  <si>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</si>
  <si>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</si>
  <si>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</si>
  <si>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</si>
  <si>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</si>
  <si>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</si>
  <si>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</si>
  <si>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</si>
  <si>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</si>
  <si>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</si>
  <si>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</si>
  <si>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</si>
  <si>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</si>
  <si>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</si>
  <si>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</si>
  <si>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</si>
  <si>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</si>
  <si>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</si>
  <si>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</si>
  <si>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</si>
  <si>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</si>
  <si>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</si>
  <si>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</si>
  <si>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</si>
  <si>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</si>
  <si>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</si>
  <si>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</si>
  <si>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</si>
  <si>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</si>
  <si>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</si>
  <si>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</si>
  <si>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</si>
  <si>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</si>
  <si>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</si>
  <si>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</si>
  <si>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</si>
  <si>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</si>
  <si>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</si>
  <si>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</si>
  <si>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</si>
  <si>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</si>
  <si>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</si>
  <si>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</si>
  <si>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</si>
  <si>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</si>
  <si>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</si>
  <si>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</si>
  <si>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</si>
  <si>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</si>
  <si>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</si>
  <si>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</si>
  <si>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</si>
  <si>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</si>
  <si>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</si>
  <si>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</si>
  <si>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</si>
  <si>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</si>
  <si>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</si>
  <si>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</si>
  <si>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</si>
  <si>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</si>
  <si>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</si>
  <si>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</si>
  <si>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</si>
  <si>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</si>
  <si>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</si>
  <si>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</si>
  <si>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</si>
  <si>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</si>
  <si>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</si>
  <si>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</si>
  <si>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</si>
  <si>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</si>
  <si>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</si>
  <si>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</si>
  <si>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</si>
  <si>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</si>
  <si>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</si>
  <si>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</si>
  <si>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</si>
  <si>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</si>
  <si>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</si>
  <si>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</si>
  <si>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</si>
  <si>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</si>
  <si>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</si>
  <si>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</si>
  <si>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</si>
  <si>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</si>
  <si>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</si>
  <si>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</si>
  <si>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</si>
  <si>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</si>
  <si>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</si>
  <si>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</si>
  <si>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</si>
  <si>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</si>
  <si>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</si>
  <si>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</si>
  <si>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</si>
  <si>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</si>
  <si>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</si>
  <si>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</si>
  <si>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</si>
  <si>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</si>
  <si>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</si>
  <si>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</si>
  <si>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</si>
  <si>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</si>
  <si>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</si>
  <si>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</si>
  <si>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</si>
  <si>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</si>
  <si>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</si>
  <si>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</si>
  <si>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</si>
  <si>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</si>
  <si>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</si>
  <si>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</si>
  <si>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</si>
  <si>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</si>
  <si>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</si>
  <si>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</si>
  <si>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</si>
  <si>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</si>
  <si>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</si>
  <si>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</si>
  <si>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</si>
  <si>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</si>
  <si>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</si>
  <si>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</si>
  <si>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</si>
  <si>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</si>
  <si>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</si>
  <si>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</si>
  <si>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</si>
  <si>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</si>
  <si>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</si>
  <si>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</si>
  <si>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</si>
  <si>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</si>
  <si>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</si>
  <si>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</si>
  <si>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</si>
  <si>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</si>
  <si>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</si>
  <si>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</si>
  <si>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</si>
  <si>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</si>
  <si>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</si>
  <si>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</si>
  <si>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</si>
  <si>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</si>
  <si>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</si>
  <si>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</si>
  <si>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</si>
  <si>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</si>
  <si>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</si>
  <si>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</si>
  <si>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</si>
  <si>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</si>
  <si>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</si>
  <si>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</si>
  <si>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</si>
  <si>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</si>
  <si>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</si>
  <si>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</si>
  <si>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</si>
  <si>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</si>
  <si>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</si>
  <si>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</si>
  <si>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</si>
  <si>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</si>
  <si>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</si>
  <si>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</si>
  <si>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</si>
  <si>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</si>
  <si>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</si>
  <si>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</si>
  <si>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</si>
  <si>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</si>
  <si>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</si>
  <si>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</si>
  <si>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</si>
  <si>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</si>
  <si>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</si>
  <si>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</si>
  <si>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</si>
  <si>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</si>
  <si>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</si>
  <si>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</si>
  <si>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</si>
  <si>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</si>
  <si>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</si>
  <si>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</si>
  <si>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</si>
  <si>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</si>
  <si>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</si>
  <si>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</si>
  <si>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</si>
  <si>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</si>
  <si>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</si>
  <si>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</si>
  <si>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</si>
  <si>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</si>
  <si>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</si>
  <si>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</si>
  <si>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</si>
  <si>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</si>
  <si>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</si>
  <si>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</si>
  <si>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</si>
  <si>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</si>
  <si>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</si>
  <si>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</si>
  <si>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</si>
  <si>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</si>
  <si>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</si>
  <si>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</si>
  <si>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</si>
  <si>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</si>
  <si>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</si>
  <si>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</si>
  <si>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</si>
  <si>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</si>
  <si>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</si>
  <si>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</si>
  <si>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</si>
  <si>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</si>
  <si>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</si>
  <si>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</si>
  <si>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</si>
  <si>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</si>
  <si>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</si>
  <si>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</si>
  <si>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</si>
  <si>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</si>
  <si>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</si>
  <si>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</si>
  <si>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</si>
  <si>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</si>
  <si>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</si>
  <si>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</si>
  <si>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</si>
  <si>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</si>
  <si>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</si>
  <si>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</si>
  <si>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</si>
  <si>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</si>
  <si>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</si>
  <si>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</si>
  <si>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</si>
  <si>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</si>
  <si>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</si>
  <si>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</si>
  <si>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</si>
  <si>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</si>
  <si>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</si>
  <si>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</si>
  <si>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</si>
  <si>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</si>
  <si>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</si>
  <si>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</si>
  <si>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</si>
  <si>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</si>
  <si>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</si>
  <si>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</si>
  <si>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</si>
  <si>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</si>
  <si>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</si>
  <si>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</si>
  <si>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</si>
  <si>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</si>
  <si>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</si>
  <si>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</si>
  <si>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</si>
  <si>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</si>
  <si>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</si>
  <si>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</si>
  <si>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</si>
  <si>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</si>
  <si>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</si>
  <si>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</si>
  <si>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</si>
  <si>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</si>
  <si>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</si>
  <si>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</si>
  <si>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</si>
  <si>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</si>
  <si>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</si>
  <si>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</si>
  <si>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</si>
  <si>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</si>
  <si>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</si>
  <si>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</si>
  <si>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</si>
  <si>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</si>
  <si>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</si>
  <si>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</si>
  <si>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</si>
  <si>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</si>
  <si>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</si>
  <si>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</si>
  <si>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</si>
  <si>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</si>
  <si>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</si>
  <si>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</si>
  <si>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</si>
  <si>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</si>
  <si>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</si>
  <si>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</si>
  <si>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</si>
  <si>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</si>
  <si>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</si>
  <si>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</si>
  <si>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</si>
  <si>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</si>
  <si>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</si>
  <si>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</si>
  <si>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</si>
  <si>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</si>
  <si>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</si>
  <si>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</si>
  <si>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</si>
  <si>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</si>
  <si>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</si>
  <si>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</si>
  <si>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</si>
  <si>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</si>
  <si>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</si>
  <si>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</si>
  <si>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</si>
  <si>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</si>
  <si>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</si>
  <si>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</si>
  <si>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</si>
  <si>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</si>
  <si>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</si>
  <si>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</si>
  <si>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</si>
  <si>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</si>
  <si>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</si>
  <si>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</si>
  <si>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</si>
  <si>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</si>
  <si>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</si>
  <si>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</si>
  <si>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</si>
  <si>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</si>
  <si>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</si>
  <si>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</si>
  <si>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</si>
  <si>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</si>
  <si>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</si>
  <si>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</si>
  <si>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</si>
  <si>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</si>
  <si>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</si>
  <si>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</si>
  <si>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</si>
  <si>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</si>
  <si>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</si>
  <si>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</si>
  <si>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</si>
  <si>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</si>
  <si>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</si>
  <si>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</si>
  <si>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</si>
  <si>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</si>
  <si>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</si>
  <si>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</si>
  <si>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</si>
  <si>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</si>
  <si>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</si>
  <si>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</si>
  <si>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</si>
  <si>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</si>
  <si>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</si>
  <si>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</si>
  <si>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</si>
  <si>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</si>
  <si>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</si>
  <si>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</si>
  <si>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</si>
  <si>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</si>
  <si>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</si>
  <si>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</si>
  <si>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</si>
  <si>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</si>
  <si>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</si>
  <si>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</si>
  <si>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</si>
  <si>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</si>
  <si>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</si>
  <si>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</si>
  <si>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</si>
  <si>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</si>
  <si>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</si>
  <si>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</si>
  <si>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</si>
  <si>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</si>
  <si>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</si>
  <si>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</si>
  <si>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</si>
  <si>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</si>
  <si>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</si>
  <si>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</si>
  <si>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</si>
  <si>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</si>
  <si>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</si>
  <si>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</si>
  <si>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</si>
  <si>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</si>
  <si>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</si>
  <si>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</si>
  <si>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</si>
  <si>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</si>
  <si>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</si>
  <si>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</si>
  <si>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</si>
  <si>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</si>
  <si>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</si>
  <si>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</si>
  <si>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</si>
  <si>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</si>
  <si>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</si>
  <si>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</si>
  <si>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</si>
  <si>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</si>
  <si>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</si>
  <si>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</si>
  <si>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</si>
  <si>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</si>
  <si>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</si>
  <si>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</si>
  <si>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</si>
  <si>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</si>
  <si>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</si>
  <si>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</si>
  <si>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</si>
  <si>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</si>
  <si>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</si>
  <si>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</si>
  <si>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</si>
  <si>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</si>
  <si>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</si>
  <si>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</si>
  <si>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</si>
  <si>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</si>
  <si>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</si>
  <si>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</si>
  <si>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</si>
  <si>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</si>
  <si>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</si>
  <si>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</si>
  <si>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</si>
  <si>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</si>
  <si>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</si>
  <si>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</si>
  <si>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</si>
  <si>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</si>
  <si>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</si>
  <si>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</si>
  <si>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</si>
  <si>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</si>
  <si>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</si>
  <si>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</si>
  <si>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</si>
  <si>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</si>
  <si>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</si>
  <si>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</si>
  <si>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</si>
  <si>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</si>
  <si>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</si>
  <si>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</si>
  <si>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</si>
  <si>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</si>
  <si>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</si>
  <si>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</si>
  <si>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</si>
  <si>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</si>
  <si>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</si>
  <si>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</si>
  <si>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</si>
  <si>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</si>
  <si>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</si>
  <si>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</si>
  <si>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</si>
  <si>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</si>
  <si>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</si>
  <si>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</si>
  <si>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</si>
  <si>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</si>
  <si>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</si>
  <si>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</si>
  <si>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</si>
  <si>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</si>
  <si>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</si>
  <si>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</si>
  <si>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</si>
  <si>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</si>
  <si>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</si>
  <si>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</si>
  <si>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</si>
  <si>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</si>
  <si>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</si>
  <si>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</si>
  <si>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</si>
  <si>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</si>
  <si>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</si>
  <si>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</si>
  <si>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</si>
  <si>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</si>
  <si>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</si>
  <si>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</si>
  <si>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</si>
  <si>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</si>
  <si>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</si>
  <si>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</si>
  <si>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</si>
  <si>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</si>
  <si>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</si>
  <si>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</si>
  <si>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</si>
  <si>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</si>
  <si>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</si>
  <si>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</si>
  <si>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</si>
  <si>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</si>
  <si>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</si>
  <si>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</si>
  <si>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</si>
  <si>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</si>
  <si>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</si>
  <si>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</si>
  <si>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Verdon</t>
  </si>
  <si>
    <t xml:space="preserve">Vinon sur Verdon</t>
  </si>
  <si>
    <t xml:space="preserve">06161500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</si>
  <si>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</si>
  <si>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</si>
  <si>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</si>
  <si>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</si>
  <si>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</si>
  <si>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</si>
  <si>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</si>
  <si>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</si>
  <si>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</si>
  <si>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</si>
  <si>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</si>
  <si>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</si>
  <si>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</si>
  <si>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</si>
  <si>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</si>
  <si>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</si>
  <si>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</si>
  <si>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</si>
  <si>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</si>
  <si>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</si>
  <si>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</si>
  <si>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</si>
  <si>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</si>
  <si>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</si>
  <si>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</si>
  <si>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</si>
  <si>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</si>
  <si>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</si>
  <si>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</si>
  <si>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</si>
  <si>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</si>
  <si>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</si>
  <si>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</si>
  <si>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</si>
  <si>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</si>
  <si>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</si>
  <si>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</si>
  <si>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</si>
  <si>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</si>
  <si>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</si>
  <si>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</si>
  <si>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</si>
  <si>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</si>
  <si>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</si>
  <si>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</si>
  <si>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</si>
  <si>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</si>
  <si>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</si>
  <si>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</si>
  <si>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</si>
  <si>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</si>
  <si>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(12,04825 %)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</si>
  <si>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</si>
  <si>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</si>
  <si>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</si>
  <si>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</si>
  <si>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</si>
  <si>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</si>
  <si>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</si>
  <si>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</si>
  <si>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</si>
  <si>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</si>
  <si>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</si>
  <si>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</si>
  <si>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</si>
  <si>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</si>
  <si>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</si>
  <si>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</si>
  <si>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</si>
  <si>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</si>
  <si>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</si>
  <si>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</si>
  <si>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Echinochloa crus-galli</t>
  </si>
  <si>
    <t xml:space="preserve">Xanthium orientale subsp italicum</t>
  </si>
  <si>
    <t xml:space="preserve">Setaria viridis</t>
  </si>
  <si>
    <t xml:space="preserve">Bacillariophyceae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</si>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</sst>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4" fontId="89" fillId="0" borderId="0" xfId="0" applyFont="true" applyBorder="true" applyAlignment="true" applyProtection="true">
      <alignment horizontal="center" vertical="center"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9.11538461538462</v>
      </c>
      <c r="M5" s="323"/>
      <c r="N5" s="324" t="s">
        <v>69</v>
      </c>
      <c r="O5" s="325" t="n">
        <v>8.54166666666667</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65</v>
      </c>
      <c r="C7" s="337" t="n">
        <v>35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6.36363636363636</v>
      </c>
      <c r="O8" s="354" t="n">
        <f aca="false">IF(ISERROR(AVERAGE(J23:J82)),"      -",AVERAGE(J23:J82))</f>
        <v>1.15151515151515</v>
      </c>
      <c r="P8" s="355"/>
      <c r="Q8" s="280"/>
      <c r="R8" s="280"/>
      <c r="S8" s="280"/>
      <c r="T8" s="280"/>
      <c r="U8" s="280"/>
      <c r="V8" s="280"/>
      <c r="W8" s="292"/>
      <c r="X8" s="293"/>
    </row>
    <row r="9" customFormat="false" ht="13.8" hidden="false" customHeight="false" outlineLevel="0" collapsed="false">
      <c r="A9" s="313" t="s">
        <v>2635</v>
      </c>
      <c r="B9" s="356" t="n">
        <v>15.44</v>
      </c>
      <c r="C9" s="357" t="n">
        <v>5.74</v>
      </c>
      <c r="D9" s="358"/>
      <c r="E9" s="358"/>
      <c r="F9" s="359" t="n">
        <f aca="false">($B9*$B$7+$C9*$C$7)/100</f>
        <v>12.045</v>
      </c>
      <c r="G9" s="360"/>
      <c r="H9" s="361"/>
      <c r="I9" s="362"/>
      <c r="J9" s="363"/>
      <c r="K9" s="343"/>
      <c r="L9" s="364"/>
      <c r="M9" s="353" t="s">
        <v>2636</v>
      </c>
      <c r="N9" s="354" t="n">
        <f aca="false">IF(ISERROR(STDEVP(I23:I82)),"     -",STDEVP(I23:I82))</f>
        <v>5.4983092818318</v>
      </c>
      <c r="O9" s="354" t="n">
        <f aca="false">IF(ISERROR(STDEVP(J23:J82)),"      -",STDEVP(J23:J82))</f>
        <v>0.988454935169702</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7</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5</v>
      </c>
      <c r="L13" s="386"/>
      <c r="M13" s="397" t="s">
        <v>2649</v>
      </c>
      <c r="N13" s="398" t="n">
        <f aca="false">COUNTIF(F23:F82,"&gt;0")</f>
        <v>37</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33</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20</v>
      </c>
      <c r="L15" s="386"/>
      <c r="M15" s="407" t="s">
        <v>2655</v>
      </c>
      <c r="N15" s="408" t="n">
        <f aca="false">COUNTIF(J23:J82,"=1")</f>
        <v>9</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10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15.445</v>
      </c>
      <c r="C20" s="436" t="n">
        <f aca="false">SUM(C23:C82)</f>
        <v>5.74</v>
      </c>
      <c r="D20" s="437"/>
      <c r="E20" s="438" t="s">
        <v>2661</v>
      </c>
      <c r="F20" s="439" t="n">
        <f aca="false">($B20*$B$7+$C20*$C$7)/100</f>
        <v>12.04825</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10.03925</v>
      </c>
      <c r="C21" s="449" t="n">
        <f aca="false">C20*C7/100</f>
        <v>2.009</v>
      </c>
      <c r="D21" s="381" t="str">
        <f aca="false">IF(F21=0,"",IF((ABS(F21-F19))&gt;(0.2*F21),CONCATENATE(" rec. par taxa (",F21," %) supérieur à 20 % !"),""))</f>
        <v> rec. par taxa (12,04825 %) supérieur à 20 % !</v>
      </c>
      <c r="E21" s="450" t="str">
        <f aca="false">IF(F21=0,"",IF((ABS(F21-F19))&gt;(0.2*F21),CONCATENATE("ATTENTION : écart entre rec. par grp (",F19," %) ","et",""),""))</f>
        <v>ATTENTION : écart entre rec. par grp (0 %) et</v>
      </c>
      <c r="F21" s="451" t="n">
        <f aca="false">B21+C21</f>
        <v>12.04825</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69</v>
      </c>
      <c r="B23" s="475" t="n">
        <v>0.8</v>
      </c>
      <c r="C23" s="476" t="n">
        <v>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0.695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0.695</v>
      </c>
      <c r="R23" s="487" t="n">
        <f aca="false">IF(OR(ISTEXT(H23),Q23=0),"",IF(Q23&lt;0.1,1,IF(Q23&lt;1,2,IF(Q23&lt;10,3,IF(Q23&lt;50,4,IF(Q23&gt;=50,5,""))))))</f>
        <v>2</v>
      </c>
      <c r="S23" s="487" t="n">
        <f aca="false">IF(ISERROR(R23*I23),0,R23*I23)</f>
        <v>32</v>
      </c>
      <c r="T23" s="487" t="n">
        <f aca="false">IF(ISERROR(R23*I23*J23),0,R23*I23*J23)</f>
        <v>64</v>
      </c>
      <c r="U23" s="487" t="n">
        <f aca="false">IF(ISERROR(R23*J23),0,R23*J23)</f>
        <v>4</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3.2" hidden="false" customHeight="false" outlineLevel="0" collapsed="false">
      <c r="A24" s="493" t="s">
        <v>113</v>
      </c>
      <c r="B24" s="494"/>
      <c r="C24" s="495" t="n">
        <v>0.005</v>
      </c>
      <c r="D24" s="477" t="str">
        <f aca="false">IF(ISERROR(VLOOKUP($A24,'liste reference'!$A$7:$D$904,2,0)),IF(ISERROR(VLOOKUP($A24,'liste reference'!$B$7:$D$904,1,0)),"",VLOOKUP($A24,'liste reference'!$B$7:$D$904,1,0)),VLOOKUP($A24,'liste reference'!$A$7:$D$904,2,0))</f>
        <v>Chara vulgaris</v>
      </c>
      <c r="E24" s="496" t="e">
        <f aca="false">IF(D24="",0,VLOOKUP(D24,D$17:D22,1,0))</f>
        <v>#N/A</v>
      </c>
      <c r="F24" s="497" t="n">
        <f aca="false">($B24*$B$7+$C24*$C$7)/100</f>
        <v>0.00175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Chara vulgaris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5261</v>
      </c>
      <c r="Q24" s="486" t="n">
        <f aca="false">IF(ISTEXT(H24),"",(B24*$B$7/100)+(C24*$C$7/100))</f>
        <v>0.00175</v>
      </c>
      <c r="R24" s="487" t="n">
        <f aca="false">IF(OR(ISTEXT(H24),Q24=0),"",IF(Q24&lt;0.1,1,IF(Q24&lt;1,2,IF(Q24&lt;10,3,IF(Q24&lt;50,4,IF(Q24&gt;=50,5,""))))))</f>
        <v>1</v>
      </c>
      <c r="S24" s="487" t="n">
        <f aca="false">IF(ISERROR(R24*I24),0,R24*I24)</f>
        <v>13</v>
      </c>
      <c r="T24" s="487" t="n">
        <f aca="false">IF(ISERROR(R24*I24*J24),0,R24*I24*J24)</f>
        <v>13</v>
      </c>
      <c r="U24" s="499" t="n">
        <f aca="false">IF(ISERROR(R24*J24),0,R24*J24)</f>
        <v>1</v>
      </c>
      <c r="V24" s="488" t="str">
        <f aca="false">IF(AND(A24="",F24=0),"",IF(F24=0,"Il manque le(s) % de rec. !",""))</f>
        <v/>
      </c>
      <c r="W24" s="489"/>
      <c r="Y24" s="490" t="str">
        <f aca="false">IF(A24="new.cod","NEWCOD",IF(AND((Z24=""),ISTEXT(A24)),A24,IF(Z24="","",INDEX('liste reference'!$A$8:$A$904,Z24))))</f>
        <v>CHAVUL</v>
      </c>
      <c r="Z24" s="280" t="n">
        <f aca="false">IF(ISERROR(MATCH(A24,'liste reference'!$A$8:$A$904,0)),IF(ISERROR(MATCH(A24,'liste reference'!$B$8:$B$904,0)),"",(MATCH(A24,'liste reference'!$B$8:$B$904,0))),(MATCH(A24,'liste reference'!$A$8:$A$904,0)))</f>
        <v>20</v>
      </c>
      <c r="AA24" s="491"/>
      <c r="AB24" s="492"/>
      <c r="AC24" s="492"/>
      <c r="BB24" s="280" t="n">
        <f aca="false">IF(A24="","",1)</f>
        <v>1</v>
      </c>
    </row>
    <row r="25" customFormat="false" ht="13.2" hidden="false" customHeight="false" outlineLevel="0" collapsed="false">
      <c r="A25" s="493" t="s">
        <v>122</v>
      </c>
      <c r="B25" s="494" t="n">
        <v>11</v>
      </c>
      <c r="C25" s="495"/>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7.15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7.15</v>
      </c>
      <c r="R25" s="487" t="n">
        <f aca="false">IF(OR(ISTEXT(H25),Q25=0),"",IF(Q25&lt;0.1,1,IF(Q25&lt;1,2,IF(Q25&lt;10,3,IF(Q25&lt;50,4,IF(Q25&gt;=50,5,""))))))</f>
        <v>3</v>
      </c>
      <c r="S25" s="487" t="n">
        <f aca="false">IF(ISERROR(R25*I25),0,R25*I25)</f>
        <v>18</v>
      </c>
      <c r="T25" s="487" t="n">
        <f aca="false">IF(ISERROR(R25*I25*J25),0,R25*I25*J25)</f>
        <v>18</v>
      </c>
      <c r="U25" s="499" t="n">
        <f aca="false">IF(ISERROR(R25*J25),0,R25*J25)</f>
        <v>3</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3.2" hidden="false" customHeight="false" outlineLevel="0" collapsed="false">
      <c r="A26" s="493" t="s">
        <v>223</v>
      </c>
      <c r="B26" s="494"/>
      <c r="C26" s="495" t="n">
        <v>0.005</v>
      </c>
      <c r="D26" s="477" t="str">
        <f aca="false">IF(ISERROR(VLOOKUP($A26,'liste reference'!$A$7:$D$904,2,0)),IF(ISERROR(VLOOKUP($A26,'liste reference'!$B$7:$D$904,1,0)),"",VLOOKUP($A26,'liste reference'!$B$7:$D$904,1,0)),VLOOKUP($A26,'liste reference'!$A$7:$D$904,2,0))</f>
        <v>Oedogonium sp.</v>
      </c>
      <c r="E26" s="496" t="e">
        <f aca="false">IF(D26="",0,VLOOKUP(D26,D$18:D22,1,0))</f>
        <v>#N/A</v>
      </c>
      <c r="F26" s="497" t="n">
        <f aca="false">($B26*$B$7+$C26*$C$7)/100</f>
        <v>0.00175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0.00175</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3.2" hidden="false" customHeight="false" outlineLevel="0" collapsed="false">
      <c r="A27" s="493" t="s">
        <v>258</v>
      </c>
      <c r="B27" s="494"/>
      <c r="C27" s="495" t="n">
        <v>0.01</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0.0035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0.0035</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3.2" hidden="false" customHeight="false" outlineLevel="0" collapsed="false">
      <c r="A28" s="493" t="s">
        <v>263</v>
      </c>
      <c r="B28" s="494" t="n">
        <v>0.02</v>
      </c>
      <c r="C28" s="495"/>
      <c r="D28" s="477" t="str">
        <f aca="false">IF(ISERROR(VLOOKUP($A28,'liste reference'!$A$7:$D$904,2,0)),IF(ISERROR(VLOOKUP($A28,'liste reference'!$B$7:$D$904,1,0)),"",VLOOKUP($A28,'liste reference'!$B$7:$D$904,1,0)),VLOOKUP($A28,'liste reference'!$A$7:$D$904,2,0))</f>
        <v>Stigeoclonium sp.</v>
      </c>
      <c r="E28" s="496" t="e">
        <f aca="false">IF(D28="",0,VLOOKUP(D28,D$22:D27,1,0))</f>
        <v>#N/A</v>
      </c>
      <c r="F28" s="497" t="n">
        <f aca="false">($B28*$B$7+$C28*$C$7)/100</f>
        <v>0.013</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1119</v>
      </c>
      <c r="Q28" s="486" t="n">
        <f aca="false">IF(ISTEXT(H28),"",(B28*$B$7/100)+(C28*$C$7/100))</f>
        <v>0.013</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STISPX</v>
      </c>
      <c r="Z28" s="280" t="n">
        <f aca="false">IF(ISERROR(MATCH(A28,'liste reference'!$A$8:$A$904,0)),IF(ISERROR(MATCH(A28,'liste reference'!$B$8:$B$904,0)),"",(MATCH(A28,'liste reference'!$B$8:$B$904,0))),(MATCH(A28,'liste reference'!$A$8:$A$904,0)))</f>
        <v>71</v>
      </c>
      <c r="AA28" s="491"/>
      <c r="AB28" s="492"/>
      <c r="AC28" s="492"/>
      <c r="BB28" s="280" t="n">
        <f aca="false">IF(A28="","",1)</f>
        <v>1</v>
      </c>
    </row>
    <row r="29" customFormat="false" ht="13.2" hidden="false" customHeight="false" outlineLevel="0" collapsed="false">
      <c r="A29" s="493" t="s">
        <v>301</v>
      </c>
      <c r="B29" s="494" t="n">
        <v>0.01</v>
      </c>
      <c r="C29" s="495"/>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0.0065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0.0065</v>
      </c>
      <c r="R29" s="487" t="n">
        <f aca="false">IF(OR(ISTEXT(H29),Q29=0),"",IF(Q29&lt;0.1,1,IF(Q29&lt;1,2,IF(Q29&lt;10,3,IF(Q29&lt;50,4,IF(Q29&gt;=50,5,""))))))</f>
        <v>1</v>
      </c>
      <c r="S29" s="487" t="n">
        <f aca="false">IF(ISERROR(R29*I29),0,R29*I29)</f>
        <v>4</v>
      </c>
      <c r="T29" s="487" t="n">
        <f aca="false">IF(ISERROR(R29*I29*J29),0,R29*I29*J29)</f>
        <v>4</v>
      </c>
      <c r="U29" s="499" t="n">
        <f aca="false">IF(ISERROR(R29*J29),0,R29*J29)</f>
        <v>1</v>
      </c>
      <c r="V29" s="488" t="str">
        <f aca="false">IF(AND(A29="",F29=0),"",IF(F29=0,"Il manque le(s) % de rec. !",""))</f>
        <v/>
      </c>
      <c r="W29" s="489"/>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3.2" hidden="false" customHeight="false" outlineLevel="0" collapsed="false">
      <c r="A30" s="493" t="s">
        <v>512</v>
      </c>
      <c r="B30" s="494" t="n">
        <v>0.02</v>
      </c>
      <c r="C30" s="495"/>
      <c r="D30" s="477" t="str">
        <f aca="false">IF(ISERROR(VLOOKUP($A30,'liste reference'!$A$7:$D$904,2,0)),IF(ISERROR(VLOOKUP($A30,'liste reference'!$B$7:$D$904,1,0)),"",VLOOKUP($A30,'liste reference'!$B$7:$D$904,1,0)),VLOOKUP($A30,'liste reference'!$A$7:$D$904,2,0))</f>
        <v>Pellia endiviifolia</v>
      </c>
      <c r="E30" s="496" t="e">
        <f aca="false">IF(D30="",0,VLOOKUP(D30,D$22:D29,1,0))</f>
        <v>#N/A</v>
      </c>
      <c r="F30" s="497" t="n">
        <f aca="false">($B30*$B$7+$C30*$C$7)/100</f>
        <v>0.013</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1197</v>
      </c>
      <c r="Q30" s="486" t="n">
        <f aca="false">IF(ISTEXT(H30),"",(B30*$B$7/100)+(C30*$C$7/100))</f>
        <v>0.013</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PELEND</v>
      </c>
      <c r="Z30" s="280" t="n">
        <f aca="false">IF(ISERROR(MATCH(A30,'liste reference'!$A$8:$A$904,0)),IF(ISERROR(MATCH(A30,'liste reference'!$B$8:$B$904,0)),"",(MATCH(A30,'liste reference'!$B$8:$B$904,0))),(MATCH(A30,'liste reference'!$A$8:$A$904,0)))</f>
        <v>120</v>
      </c>
      <c r="AA30" s="491"/>
      <c r="AB30" s="492"/>
      <c r="AC30" s="492"/>
      <c r="BB30" s="280" t="n">
        <f aca="false">IF(A30="","",1)</f>
        <v>1</v>
      </c>
    </row>
    <row r="31" customFormat="false" ht="13.2" hidden="false" customHeight="false" outlineLevel="0" collapsed="false">
      <c r="A31" s="493" t="s">
        <v>645</v>
      </c>
      <c r="B31" s="494" t="n">
        <v>0.07</v>
      </c>
      <c r="C31" s="495"/>
      <c r="D31" s="477" t="str">
        <f aca="false">IF(ISERROR(VLOOKUP($A31,'liste reference'!$A$7:$D$904,2,0)),IF(ISERROR(VLOOKUP($A31,'liste reference'!$B$7:$D$904,1,0)),"",VLOOKUP($A31,'liste reference'!$B$7:$D$904,1,0)),VLOOKUP($A31,'liste reference'!$A$7:$D$904,2,0))</f>
        <v>Amblystegium riparium</v>
      </c>
      <c r="E31" s="496" t="e">
        <f aca="false">IF(D31="",0,VLOOKUP(D31,D$22:D30,1,0))</f>
        <v>#N/A</v>
      </c>
      <c r="F31" s="497" t="n">
        <f aca="false">($B31*$B$7+$C31*$C$7)/100</f>
        <v>0.0455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1219</v>
      </c>
      <c r="Q31" s="486" t="n">
        <f aca="false">IF(ISTEXT(H31),"",(B31*$B$7/100)+(C31*$C$7/100))</f>
        <v>0.0455</v>
      </c>
      <c r="R31" s="487" t="n">
        <f aca="false">IF(OR(ISTEXT(H31),Q31=0),"",IF(Q31&lt;0.1,1,IF(Q31&lt;1,2,IF(Q31&lt;10,3,IF(Q31&lt;50,4,IF(Q31&gt;=50,5,""))))))</f>
        <v>1</v>
      </c>
      <c r="S31" s="487" t="n">
        <f aca="false">IF(ISERROR(R31*I31),0,R31*I31)</f>
        <v>5</v>
      </c>
      <c r="T31" s="487" t="n">
        <f aca="false">IF(ISERROR(R31*I31*J31),0,R31*I31*J31)</f>
        <v>10</v>
      </c>
      <c r="U31" s="499" t="n">
        <f aca="false">IF(ISERROR(R31*J31),0,R31*J31)</f>
        <v>2</v>
      </c>
      <c r="V31" s="488" t="str">
        <f aca="false">IF(AND(A31="",F31=0),"",IF(F31=0,"Il manque le(s) % de rec. !",""))</f>
        <v/>
      </c>
      <c r="W31" s="489"/>
      <c r="Y31" s="490" t="str">
        <f aca="false">IF(A31="new.cod","NEWCOD",IF(AND((Z31=""),ISTEXT(A31)),A31,IF(Z31="","",INDEX('liste reference'!$A$8:$A$904,Z31))))</f>
        <v>AMBRIP</v>
      </c>
      <c r="Z31" s="280" t="n">
        <f aca="false">IF(ISERROR(MATCH(A31,'liste reference'!$A$8:$A$904,0)),IF(ISERROR(MATCH(A31,'liste reference'!$B$8:$B$904,0)),"",(MATCH(A31,'liste reference'!$B$8:$B$904,0))),(MATCH(A31,'liste reference'!$A$8:$A$904,0)))</f>
        <v>148</v>
      </c>
      <c r="AA31" s="491"/>
      <c r="AB31" s="492"/>
      <c r="AC31" s="492"/>
      <c r="BB31" s="280" t="n">
        <f aca="false">IF(A31="","",1)</f>
        <v>1</v>
      </c>
    </row>
    <row r="32" customFormat="false" ht="13.2" hidden="false" customHeight="false" outlineLevel="0" collapsed="false">
      <c r="A32" s="493" t="s">
        <v>764</v>
      </c>
      <c r="B32" s="494" t="n">
        <v>0.01</v>
      </c>
      <c r="C32" s="495"/>
      <c r="D32" s="477" t="str">
        <f aca="false">IF(ISERROR(VLOOKUP($A32,'liste reference'!$A$7:$D$904,2,0)),IF(ISERROR(VLOOKUP($A32,'liste reference'!$B$7:$D$904,1,0)),"",VLOOKUP($A32,'liste reference'!$B$7:$D$904,1,0)),VLOOKUP($A32,'liste reference'!$A$7:$D$904,2,0))</f>
        <v>Cratoneuron filicinum</v>
      </c>
      <c r="E32" s="496" t="e">
        <f aca="false">IF(D32="",0,VLOOKUP(D32,D$22:D31,1,0))</f>
        <v>#N/A</v>
      </c>
      <c r="F32" s="497" t="n">
        <f aca="false">($B32*$B$7+$C32*$C$7)/100</f>
        <v>0.0065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18</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filicinum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1233</v>
      </c>
      <c r="Q32" s="486" t="n">
        <f aca="false">IF(ISTEXT(H32),"",(B32*$B$7/100)+(C32*$C$7/100))</f>
        <v>0.0065</v>
      </c>
      <c r="R32" s="487" t="n">
        <f aca="false">IF(OR(ISTEXT(H32),Q32=0),"",IF(Q32&lt;0.1,1,IF(Q32&lt;1,2,IF(Q32&lt;10,3,IF(Q32&lt;50,4,IF(Q32&gt;=50,5,""))))))</f>
        <v>1</v>
      </c>
      <c r="S32" s="487" t="n">
        <f aca="false">IF(ISERROR(R32*I32),0,R32*I32)</f>
        <v>18</v>
      </c>
      <c r="T32" s="487" t="n">
        <f aca="false">IF(ISERROR(R32*I32*J32),0,R32*I32*J32)</f>
        <v>54</v>
      </c>
      <c r="U32" s="499" t="n">
        <f aca="false">IF(ISERROR(R32*J32),0,R32*J32)</f>
        <v>3</v>
      </c>
      <c r="V32" s="488" t="str">
        <f aca="false">IF(AND(A32="",F32=0),"",IF(F32=0,"Il manque le(s) % de rec. !",""))</f>
        <v/>
      </c>
      <c r="W32" s="489"/>
      <c r="Y32" s="490" t="str">
        <f aca="false">IF(A32="new.cod","NEWCOD",IF(AND((Z32=""),ISTEXT(A32)),A32,IF(Z32="","",INDEX('liste reference'!$A$8:$A$904,Z32))))</f>
        <v>CRAFIL</v>
      </c>
      <c r="Z32" s="280" t="n">
        <f aca="false">IF(ISERROR(MATCH(A32,'liste reference'!$A$8:$A$904,0)),IF(ISERROR(MATCH(A32,'liste reference'!$B$8:$B$904,0)),"",(MATCH(A32,'liste reference'!$B$8:$B$904,0))),(MATCH(A32,'liste reference'!$A$8:$A$904,0)))</f>
        <v>178</v>
      </c>
      <c r="AA32" s="491"/>
      <c r="AB32" s="492"/>
      <c r="AC32" s="492"/>
      <c r="BB32" s="280" t="n">
        <f aca="false">IF(A32="","",1)</f>
        <v>1</v>
      </c>
    </row>
    <row r="33" customFormat="false" ht="13.2" hidden="false" customHeight="false" outlineLevel="0" collapsed="false">
      <c r="A33" s="493" t="s">
        <v>852</v>
      </c>
      <c r="B33" s="494" t="n">
        <v>0.005</v>
      </c>
      <c r="C33" s="495"/>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0.00325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0.00325</v>
      </c>
      <c r="R33" s="487" t="n">
        <f aca="false">IF(OR(ISTEXT(H33),Q33=0),"",IF(Q33&lt;0.1,1,IF(Q33&lt;1,2,IF(Q33&lt;10,3,IF(Q33&lt;50,4,IF(Q33&gt;=50,5,""))))))</f>
        <v>1</v>
      </c>
      <c r="S33" s="487" t="n">
        <f aca="false">IF(ISERROR(R33*I33),0,R33*I33)</f>
        <v>12</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3.2" hidden="false" customHeight="false" outlineLevel="0" collapsed="false">
      <c r="A34" s="493" t="s">
        <v>1054</v>
      </c>
      <c r="B34" s="494" t="n">
        <v>0.06</v>
      </c>
      <c r="C34" s="495"/>
      <c r="D34" s="477" t="str">
        <f aca="false">IF(ISERROR(VLOOKUP($A34,'liste reference'!$A$7:$D$904,2,0)),IF(ISERROR(VLOOKUP($A34,'liste reference'!$B$7:$D$904,1,0)),"",VLOOKUP($A34,'liste reference'!$B$7:$D$904,1,0)),VLOOKUP($A34,'liste reference'!$A$7:$D$904,2,0))</f>
        <v>Rhynchostegium riparioides</v>
      </c>
      <c r="E34" s="496" t="e">
        <f aca="false">IF(D34="",0,VLOOKUP(D34,D$22:D33,1,0))</f>
        <v>#N/A</v>
      </c>
      <c r="F34" s="500" t="n">
        <f aca="false">($B34*$B$7+$C34*$C$7)/100</f>
        <v>0.039</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501"/>
      <c r="M34" s="501"/>
      <c r="N34" s="501"/>
      <c r="O34" s="484"/>
      <c r="P34" s="502"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0.039</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3.2" hidden="false" customHeight="false" outlineLevel="0" collapsed="false">
      <c r="A35" s="493" t="s">
        <v>1153</v>
      </c>
      <c r="B35" s="494" t="n">
        <v>0.01</v>
      </c>
      <c r="C35" s="495" t="n">
        <v>0.005</v>
      </c>
      <c r="D35" s="477" t="str">
        <f aca="false">IF(ISERROR(VLOOKUP($A35,'liste reference'!$A$7:$D$904,2,0)),IF(ISERROR(VLOOKUP($A35,'liste reference'!$B$7:$D$904,1,0)),"",VLOOKUP($A35,'liste reference'!$B$7:$D$904,1,0)),VLOOKUP($A35,'liste reference'!$A$7:$D$904,2,0))</f>
        <v>Equisetum arvense</v>
      </c>
      <c r="E35" s="496" t="e">
        <f aca="false">IF(D35="",0,VLOOKUP(D35,D$22:D34,1,0))</f>
        <v>#N/A</v>
      </c>
      <c r="F35" s="500" t="n">
        <f aca="false">($B35*$B$7+$C35*$C$7)/100</f>
        <v>0.00825</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0.00825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X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3.2" hidden="false" customHeight="false" outlineLevel="0" collapsed="false">
      <c r="A36" s="493" t="s">
        <v>1224</v>
      </c>
      <c r="B36" s="494" t="n">
        <v>0.005</v>
      </c>
      <c r="C36" s="495"/>
      <c r="D36" s="477" t="str">
        <f aca="false">IF(ISERROR(VLOOKUP($A36,'liste reference'!$A$7:$D$904,2,0)),IF(ISERROR(VLOOKUP($A36,'liste reference'!$B$7:$D$904,1,0)),"",VLOOKUP($A36,'liste reference'!$B$7:$D$904,1,0)),VLOOKUP($A36,'liste reference'!$A$7:$D$904,2,0))</f>
        <v>Apium nodiflorum</v>
      </c>
      <c r="E36" s="496" t="e">
        <f aca="false">IF(D36="",0,VLOOKUP(D36,D$22:D35,1,0))</f>
        <v>#N/A</v>
      </c>
      <c r="F36" s="500" t="n">
        <f aca="false">($B36*$B$7+$C36*$C$7)/100</f>
        <v>0.00325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Apium nodiflorum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1974</v>
      </c>
      <c r="Q36" s="486" t="n">
        <f aca="false">IF(ISTEXT(H36),"",(B36*$B$7/100)+(C36*$C$7/100))</f>
        <v>0.00325</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APINOD</v>
      </c>
      <c r="Z36" s="280" t="n">
        <f aca="false">IF(ISERROR(MATCH(A36,'liste reference'!$A$8:$A$904,0)),IF(ISERROR(MATCH(A36,'liste reference'!$B$8:$B$904,0)),"",(MATCH(A36,'liste reference'!$B$8:$B$904,0))),(MATCH(A36,'liste reference'!$A$8:$A$904,0)))</f>
        <v>309</v>
      </c>
      <c r="AA36" s="491"/>
      <c r="AB36" s="492"/>
      <c r="AC36" s="492"/>
      <c r="BB36" s="280" t="n">
        <f aca="false">IF(A36="","",1)</f>
        <v>1</v>
      </c>
    </row>
    <row r="37" customFormat="false" ht="13.2" hidden="false" customHeight="false" outlineLevel="0" collapsed="false">
      <c r="A37" s="493" t="s">
        <v>1310</v>
      </c>
      <c r="B37" s="494"/>
      <c r="C37" s="495" t="n">
        <v>0.2</v>
      </c>
      <c r="D37" s="477" t="str">
        <f aca="false">IF(ISERROR(VLOOKUP($A37,'liste reference'!$A$7:$D$904,2,0)),IF(ISERROR(VLOOKUP($A37,'liste reference'!$B$7:$D$904,1,0)),"",VLOOKUP($A37,'liste reference'!$B$7:$D$904,1,0)),VLOOKUP($A37,'liste reference'!$A$7:$D$904,2,0))</f>
        <v>Groenlandia densa</v>
      </c>
      <c r="E37" s="496" t="e">
        <f aca="false">IF(D37="",0,VLOOKUP(D37,D$22:D36,1,0))</f>
        <v>#N/A</v>
      </c>
      <c r="F37" s="500" t="n">
        <f aca="false">($B37*$B$7+$C37*$C$7)/100</f>
        <v>0.07</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Groenlandia densa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1638</v>
      </c>
      <c r="Q37" s="486" t="n">
        <f aca="false">IF(ISTEXT(H37),"",(B37*$B$7/100)+(C37*$C$7/100))</f>
        <v>0.07</v>
      </c>
      <c r="R37" s="487" t="n">
        <f aca="false">IF(OR(ISTEXT(H37),Q37=0),"",IF(Q37&lt;0.1,1,IF(Q37&lt;1,2,IF(Q37&lt;10,3,IF(Q37&lt;50,4,IF(Q37&gt;=50,5,""))))))</f>
        <v>1</v>
      </c>
      <c r="S37" s="487" t="n">
        <f aca="false">IF(ISERROR(R37*I37),0,R37*I37)</f>
        <v>11</v>
      </c>
      <c r="T37" s="487" t="n">
        <f aca="false">IF(ISERROR(R37*I37*J37),0,R37*I37*J37)</f>
        <v>22</v>
      </c>
      <c r="U37" s="499" t="n">
        <f aca="false">IF(ISERROR(R37*J37),0,R37*J37)</f>
        <v>2</v>
      </c>
      <c r="V37" s="488" t="str">
        <f aca="false">IF(AND(A37="",F37=0),"",IF(F37=0,"Il manque le(s) % de rec. !",""))</f>
        <v/>
      </c>
      <c r="W37" s="489"/>
      <c r="Y37" s="490" t="str">
        <f aca="false">IF(A37="new.cod","NEWCOD",IF(AND((Z37=""),ISTEXT(A37)),A37,IF(Z37="","",INDEX('liste reference'!$A$8:$A$904,Z37))))</f>
        <v>GRODEN</v>
      </c>
      <c r="Z37" s="280" t="n">
        <f aca="false">IF(ISERROR(MATCH(A37,'liste reference'!$A$8:$A$904,0)),IF(ISERROR(MATCH(A37,'liste reference'!$B$8:$B$904,0)),"",(MATCH(A37,'liste reference'!$B$8:$B$904,0))),(MATCH(A37,'liste reference'!$A$8:$A$904,0)))</f>
        <v>345</v>
      </c>
      <c r="AA37" s="491"/>
      <c r="AB37" s="492"/>
      <c r="AC37" s="492"/>
      <c r="BB37" s="280" t="n">
        <f aca="false">IF(A37="","",1)</f>
        <v>1</v>
      </c>
    </row>
    <row r="38" customFormat="false" ht="13.2" hidden="false" customHeight="false" outlineLevel="0" collapsed="false">
      <c r="A38" s="493" t="s">
        <v>1375</v>
      </c>
      <c r="B38" s="494"/>
      <c r="C38" s="495" t="n">
        <v>0.5</v>
      </c>
      <c r="D38" s="477" t="str">
        <f aca="false">IF(ISERROR(VLOOKUP($A38,'liste reference'!$A$7:$D$904,2,0)),IF(ISERROR(VLOOKUP($A38,'liste reference'!$B$7:$D$904,1,0)),"",VLOOKUP($A38,'liste reference'!$B$7:$D$904,1,0)),VLOOKUP($A38,'liste reference'!$A$7:$D$904,2,0))</f>
        <v>Myriophyllum spicatum</v>
      </c>
      <c r="E38" s="496" t="e">
        <f aca="false">IF(D38="",0,VLOOKUP(D38,D$22:D37,1,0))</f>
        <v>#N/A</v>
      </c>
      <c r="F38" s="500" t="n">
        <f aca="false">($B38*$B$7+$C38*$C$7)/100</f>
        <v>0.175</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8</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Myriophyllum spicatum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1778</v>
      </c>
      <c r="Q38" s="486" t="n">
        <f aca="false">IF(ISTEXT(H38),"",(B38*$B$7/100)+(C38*$C$7/100))</f>
        <v>0.175</v>
      </c>
      <c r="R38" s="487" t="n">
        <f aca="false">IF(OR(ISTEXT(H38),Q38=0),"",IF(Q38&lt;0.1,1,IF(Q38&lt;1,2,IF(Q38&lt;10,3,IF(Q38&lt;50,4,IF(Q38&gt;=50,5,""))))))</f>
        <v>2</v>
      </c>
      <c r="S38" s="487" t="n">
        <f aca="false">IF(ISERROR(R38*I38),0,R38*I38)</f>
        <v>16</v>
      </c>
      <c r="T38" s="487" t="n">
        <f aca="false">IF(ISERROR(R38*I38*J38),0,R38*I38*J38)</f>
        <v>32</v>
      </c>
      <c r="U38" s="499" t="n">
        <f aca="false">IF(ISERROR(R38*J38),0,R38*J38)</f>
        <v>4</v>
      </c>
      <c r="V38" s="488" t="str">
        <f aca="false">IF(AND(A38="",F38=0),"",IF(F38=0,"Il manque le(s) % de rec. !",""))</f>
        <v/>
      </c>
      <c r="W38" s="489"/>
      <c r="Y38" s="490" t="str">
        <f aca="false">IF(A38="new.cod","NEWCOD",IF(AND((Z38=""),ISTEXT(A38)),A38,IF(Z38="","",INDEX('liste reference'!$A$8:$A$904,Z38))))</f>
        <v>MYRSPI</v>
      </c>
      <c r="Z38" s="280" t="n">
        <f aca="false">IF(ISERROR(MATCH(A38,'liste reference'!$A$8:$A$904,0)),IF(ISERROR(MATCH(A38,'liste reference'!$B$8:$B$904,0)),"",(MATCH(A38,'liste reference'!$B$8:$B$904,0))),(MATCH(A38,'liste reference'!$A$8:$A$904,0)))</f>
        <v>373</v>
      </c>
      <c r="AA38" s="491"/>
      <c r="AB38" s="492"/>
      <c r="AC38" s="492"/>
      <c r="BB38" s="280" t="n">
        <f aca="false">IF(A38="","",1)</f>
        <v>1</v>
      </c>
    </row>
    <row r="39" customFormat="false" ht="13.2" hidden="false" customHeight="false" outlineLevel="0" collapsed="false">
      <c r="A39" s="493" t="s">
        <v>1379</v>
      </c>
      <c r="B39" s="494"/>
      <c r="C39" s="495" t="n">
        <v>0.01</v>
      </c>
      <c r="D39" s="477" t="str">
        <f aca="false">IF(ISERROR(VLOOKUP($A39,'liste reference'!$A$7:$D$904,2,0)),IF(ISERROR(VLOOKUP($A39,'liste reference'!$B$7:$D$904,1,0)),"",VLOOKUP($A39,'liste reference'!$B$7:$D$904,1,0)),VLOOKUP($A39,'liste reference'!$A$7:$D$904,2,0))</f>
        <v>Myriophyllum verticillatum</v>
      </c>
      <c r="E39" s="496" t="e">
        <f aca="false">IF(D39="",0,VLOOKUP(D39,D$22:D31,1,0))</f>
        <v>#N/A</v>
      </c>
      <c r="F39" s="500" t="n">
        <f aca="false">($B39*$B$7+$C39*$C$7)/100</f>
        <v>0.0035</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Myriophyllum verticillatum</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1779</v>
      </c>
      <c r="Q39" s="486" t="n">
        <f aca="false">IF(ISTEXT(H39),"",(B39*$B$7/100)+(C39*$C$7/100))</f>
        <v>0.0035</v>
      </c>
      <c r="R39" s="487" t="n">
        <f aca="false">IF(OR(ISTEXT(H39),Q39=0),"",IF(Q39&lt;0.1,1,IF(Q39&lt;1,2,IF(Q39&lt;10,3,IF(Q39&lt;50,4,IF(Q39&gt;=50,5,""))))))</f>
        <v>1</v>
      </c>
      <c r="S39" s="487" t="n">
        <f aca="false">IF(ISERROR(R39*I39),0,R39*I39)</f>
        <v>12</v>
      </c>
      <c r="T39" s="487" t="n">
        <f aca="false">IF(ISERROR(R39*I39*J39),0,R39*I39*J39)</f>
        <v>36</v>
      </c>
      <c r="U39" s="499" t="n">
        <f aca="false">IF(ISERROR(R39*J39),0,R39*J39)</f>
        <v>3</v>
      </c>
      <c r="V39" s="488" t="str">
        <f aca="false">IF(AND(A39="",F39=0),"",IF(F39=0,"Il manque le(s) % de rec. !",""))</f>
        <v/>
      </c>
      <c r="W39" s="489"/>
      <c r="Y39" s="490" t="str">
        <f aca="false">IF(A39="new.cod","NEWCOD",IF(AND((Z39=""),ISTEXT(A39)),A39,IF(Z39="","",INDEX('liste reference'!$A$8:$A$904,Z39))))</f>
        <v>MYRVER</v>
      </c>
      <c r="Z39" s="280" t="n">
        <f aca="false">IF(ISERROR(MATCH(A39,'liste reference'!$A$8:$A$904,0)),IF(ISERROR(MATCH(A39,'liste reference'!$B$8:$B$904,0)),"",(MATCH(A39,'liste reference'!$B$8:$B$904,0))),(MATCH(A39,'liste reference'!$A$8:$A$904,0)))</f>
        <v>375</v>
      </c>
      <c r="AA39" s="491"/>
      <c r="AB39" s="492"/>
      <c r="AC39" s="492"/>
      <c r="BB39" s="280" t="n">
        <f aca="false">IF(A39="","",1)</f>
        <v>1</v>
      </c>
    </row>
    <row r="40" customFormat="false" ht="13.2" hidden="false" customHeight="false" outlineLevel="0" collapsed="false">
      <c r="A40" s="493" t="s">
        <v>1477</v>
      </c>
      <c r="B40" s="494"/>
      <c r="C40" s="495" t="n">
        <v>0.005</v>
      </c>
      <c r="D40" s="477" t="str">
        <f aca="false">IF(ISERROR(VLOOKUP($A40,'liste reference'!$A$7:$D$904,2,0)),IF(ISERROR(VLOOKUP($A40,'liste reference'!$B$7:$D$904,1,0)),"",VLOOKUP($A40,'liste reference'!$B$7:$D$904,1,0)),VLOOKUP($A40,'liste reference'!$A$7:$D$904,2,0))</f>
        <v>Potamogeton nodosus</v>
      </c>
      <c r="E40" s="496" t="e">
        <f aca="false">IF(D40="",0,VLOOKUP(D40,D$22:D39,1,0))</f>
        <v>#N/A</v>
      </c>
      <c r="F40" s="500" t="n">
        <f aca="false">($B40*$B$7+$C40*$C$7)/100</f>
        <v>0.00175</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4</v>
      </c>
      <c r="J40" s="481" t="n">
        <f aca="false">IF(ISNUMBER(H40),IF(ISERROR(VLOOKUP($A40,'liste reference'!$A$7:$P$904,4,0)),IF(ISERROR(VLOOKUP($A40,'liste reference'!$B$7:$P$904,3,0)),"",VLOOKUP($A40,'liste reference'!$B$7:$P$904,3,0)),VLOOKUP($A40,'liste reference'!$A$7:$P$904,4,0)),"")</f>
        <v>3</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nodosus</v>
      </c>
      <c r="L40" s="498"/>
      <c r="M40" s="498"/>
      <c r="N40" s="498"/>
      <c r="O40" s="484" t="s">
        <v>2686</v>
      </c>
      <c r="P40" s="485" t="n">
        <f aca="false">IF($A40="NEWCOD",IF($AC40="","No",$AC40),IF(ISTEXT($E40),"DEJA SAISI !",IF($A40="","",IF(ISERROR(VLOOKUP($A40,'liste reference'!A:S,19,FALSE())),IF(ISERROR(VLOOKUP($A40,'liste reference'!B:S,19,FALSE())),"",VLOOKUP($A40,'liste reference'!B:S,19,FALSE())),VLOOKUP($A40,'liste reference'!A:S,19,FALSE())))))</f>
        <v>1652</v>
      </c>
      <c r="Q40" s="486" t="n">
        <f aca="false">IF(ISTEXT(H40),"",(B40*$B$7/100)+(C40*$C$7/100))</f>
        <v>0.00175</v>
      </c>
      <c r="R40" s="487" t="n">
        <f aca="false">IF(OR(ISTEXT(H40),Q40=0),"",IF(Q40&lt;0.1,1,IF(Q40&lt;1,2,IF(Q40&lt;10,3,IF(Q40&lt;50,4,IF(Q40&gt;=50,5,""))))))</f>
        <v>1</v>
      </c>
      <c r="S40" s="487" t="n">
        <f aca="false">IF(ISERROR(R40*I40),0,R40*I40)</f>
        <v>4</v>
      </c>
      <c r="T40" s="487" t="n">
        <f aca="false">IF(ISERROR(R40*I40*J40),0,R40*I40*J40)</f>
        <v>12</v>
      </c>
      <c r="U40" s="499" t="n">
        <f aca="false">IF(ISERROR(R40*J40),0,R40*J40)</f>
        <v>3</v>
      </c>
      <c r="V40" s="488" t="str">
        <f aca="false">IF(AND(A40="",F40=0),"",IF(F40=0,"Il manque le(s) % de rec. !",""))</f>
        <v/>
      </c>
      <c r="W40" s="489"/>
      <c r="Y40" s="490" t="str">
        <f aca="false">IF(A40="new.cod","NEWCOD",IF(AND((Z40=""),ISTEXT(A40)),A40,IF(Z40="","",INDEX('liste reference'!$A$8:$A$904,Z40))))</f>
        <v>POTNOD</v>
      </c>
      <c r="Z40" s="280" t="n">
        <f aca="false">IF(ISERROR(MATCH(A40,'liste reference'!$A$8:$A$904,0)),IF(ISERROR(MATCH(A40,'liste reference'!$B$8:$B$904,0)),"",(MATCH(A40,'liste reference'!$B$8:$B$904,0))),(MATCH(A40,'liste reference'!$A$8:$A$904,0)))</f>
        <v>418</v>
      </c>
      <c r="AA40" s="491" t="s">
        <v>2686</v>
      </c>
      <c r="AB40" s="492"/>
      <c r="AC40" s="492"/>
      <c r="BB40" s="280" t="n">
        <f aca="false">IF(A40="","",1)</f>
        <v>1</v>
      </c>
    </row>
    <row r="41" customFormat="false" ht="13.2" hidden="false" customHeight="false" outlineLevel="0" collapsed="false">
      <c r="A41" s="493" t="s">
        <v>1487</v>
      </c>
      <c r="B41" s="494" t="n">
        <v>0.05</v>
      </c>
      <c r="C41" s="495" t="n">
        <v>4</v>
      </c>
      <c r="D41" s="477" t="str">
        <f aca="false">IF(ISERROR(VLOOKUP($A41,'liste reference'!$A$7:$D$904,2,0)),IF(ISERROR(VLOOKUP($A41,'liste reference'!$B$7:$D$904,1,0)),"",VLOOKUP($A41,'liste reference'!$B$7:$D$904,1,0)),VLOOKUP($A41,'liste reference'!$A$7:$D$904,2,0))</f>
        <v>Potamogeton pectinatus</v>
      </c>
      <c r="E41" s="496" t="e">
        <f aca="false">IF(D41="",0,VLOOKUP(D41,D$22:D40,1,0))</f>
        <v>#N/A</v>
      </c>
      <c r="F41" s="500" t="n">
        <f aca="false">($B41*$B$7+$C41*$C$7)/100</f>
        <v>1.4325</v>
      </c>
      <c r="G41" s="479" t="str">
        <f aca="false">IF(A41="","",IF(ISERROR(VLOOKUP($A41,'liste reference'!$A$7:$P$904,13,0)),IF(ISERROR(VLOOKUP($A41,'liste reference'!$B$7:$P$904,12,0)),"    -",VLOOKUP($A41,'liste reference'!$B$7:$P$904,12,0)),VLOOKUP($A41,'liste reference'!$A$7:$P$904,13,0)))</f>
        <v>PHy</v>
      </c>
      <c r="H41" s="480" t="n">
        <f aca="false">IF(A41="","x",IF(ISERROR(VLOOKUP($A41,'liste reference'!$A$8:$P$904,14,0)),IF(ISERROR(VLOOKUP($A41,'liste reference'!$B$8:$P$904,13,0)),"x",VLOOKUP($A41,'liste reference'!$B$8:$P$904,13,0)),VLOOKUP($A41,'liste reference'!$A$8:$P$904,14,0)))</f>
        <v>7</v>
      </c>
      <c r="I41" s="481" t="n">
        <f aca="false">IF(ISNUMBER(H41),IF(ISERROR(VLOOKUP($A41,'liste reference'!$A$7:$P$904,3,0)),IF(ISERROR(VLOOKUP($A41,'liste reference'!$B$7:$P$904,2,0)),"",VLOOKUP($A41,'liste reference'!$B$7:$P$904,2,0)),VLOOKUP($A41,'liste reference'!$A$7:$P$904,3,0)),"")</f>
        <v>2</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Potamogeton pectinatus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1655</v>
      </c>
      <c r="Q41" s="486" t="n">
        <f aca="false">IF(ISTEXT(H41),"",(B41*$B$7/100)+(C41*$C$7/100))</f>
        <v>1.4325</v>
      </c>
      <c r="R41" s="487" t="n">
        <f aca="false">IF(OR(ISTEXT(H41),Q41=0),"",IF(Q41&lt;0.1,1,IF(Q41&lt;1,2,IF(Q41&lt;10,3,IF(Q41&lt;50,4,IF(Q41&gt;=50,5,""))))))</f>
        <v>3</v>
      </c>
      <c r="S41" s="487" t="n">
        <f aca="false">IF(ISERROR(R41*I41),0,R41*I41)</f>
        <v>6</v>
      </c>
      <c r="T41" s="487" t="n">
        <f aca="false">IF(ISERROR(R41*I41*J41),0,R41*I41*J41)</f>
        <v>12</v>
      </c>
      <c r="U41" s="499" t="n">
        <f aca="false">IF(ISERROR(R41*J41),0,R41*J41)</f>
        <v>6</v>
      </c>
      <c r="V41" s="488" t="str">
        <f aca="false">IF(AND(A41="",F41=0),"",IF(F41=0,"Il manque le(s) % de rec. !",""))</f>
        <v/>
      </c>
      <c r="W41" s="489"/>
      <c r="Y41" s="490" t="str">
        <f aca="false">IF(A41="new.cod","NEWCOD",IF(AND((Z41=""),ISTEXT(A41)),A41,IF(Z41="","",INDEX('liste reference'!$A$8:$A$904,Z41))))</f>
        <v>POTPEC</v>
      </c>
      <c r="Z41" s="280" t="n">
        <f aca="false">IF(ISERROR(MATCH(A41,'liste reference'!$A$8:$A$904,0)),IF(ISERROR(MATCH(A41,'liste reference'!$B$8:$B$904,0)),"",(MATCH(A41,'liste reference'!$B$8:$B$904,0))),(MATCH(A41,'liste reference'!$A$8:$A$904,0)))</f>
        <v>421</v>
      </c>
      <c r="AA41" s="491"/>
      <c r="AB41" s="492"/>
      <c r="AC41" s="492"/>
      <c r="BB41" s="280" t="n">
        <f aca="false">IF(A41="","",1)</f>
        <v>1</v>
      </c>
    </row>
    <row r="42" customFormat="false" ht="13.2" hidden="false" customHeight="false" outlineLevel="0" collapsed="false">
      <c r="A42" s="493" t="s">
        <v>1785</v>
      </c>
      <c r="B42" s="494" t="n">
        <v>0.3</v>
      </c>
      <c r="C42" s="495" t="n">
        <v>0.03</v>
      </c>
      <c r="D42" s="477" t="str">
        <f aca="false">IF(ISERROR(VLOOKUP($A42,'liste reference'!$A$7:$D$904,2,0)),IF(ISERROR(VLOOKUP($A42,'liste reference'!$B$7:$D$904,1,0)),"",VLOOKUP($A42,'liste reference'!$B$7:$D$904,1,0)),VLOOKUP($A42,'liste reference'!$A$7:$D$904,2,0))</f>
        <v>Carex pseudocyperus</v>
      </c>
      <c r="E42" s="496" t="e">
        <f aca="false">IF(D42="",0,VLOOKUP(D42,D$22:D41,1,0))</f>
        <v>#N/A</v>
      </c>
      <c r="F42" s="500" t="n">
        <f aca="false">($B42*$B$7+$C42*$C$7)/100</f>
        <v>0.2055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Carex pseudocyperus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1486</v>
      </c>
      <c r="Q42" s="486" t="n">
        <f aca="false">IF(ISTEXT(H42),"",(B42*$B$7/100)+(C42*$C$7/100))</f>
        <v>0.2055</v>
      </c>
      <c r="R42" s="487" t="n">
        <f aca="false">IF(OR(ISTEXT(H42),Q42=0),"",IF(Q42&lt;0.1,1,IF(Q42&lt;1,2,IF(Q42&lt;10,3,IF(Q42&lt;50,4,IF(Q42&gt;=50,5,""))))))</f>
        <v>2</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CARPSE</v>
      </c>
      <c r="Z42" s="280" t="n">
        <f aca="false">IF(ISERROR(MATCH(A42,'liste reference'!$A$8:$A$904,0)),IF(ISERROR(MATCH(A42,'liste reference'!$B$8:$B$904,0)),"",(MATCH(A42,'liste reference'!$B$8:$B$904,0))),(MATCH(A42,'liste reference'!$A$8:$A$904,0)))</f>
        <v>542</v>
      </c>
      <c r="AA42" s="491"/>
      <c r="AB42" s="492"/>
      <c r="AC42" s="492"/>
      <c r="BB42" s="280" t="n">
        <f aca="false">IF(A42="","",1)</f>
        <v>1</v>
      </c>
    </row>
    <row r="43" customFormat="false" ht="13.2" hidden="false" customHeight="false" outlineLevel="0" collapsed="false">
      <c r="A43" s="493" t="s">
        <v>1815</v>
      </c>
      <c r="B43" s="494" t="n">
        <v>0.005</v>
      </c>
      <c r="C43" s="495" t="n">
        <v>0.005</v>
      </c>
      <c r="D43" s="477" t="str">
        <f aca="false">IF(ISERROR(VLOOKUP($A43,'liste reference'!$A$7:$D$904,2,0)),IF(ISERROR(VLOOKUP($A43,'liste reference'!$B$7:$D$904,1,0)),"",VLOOKUP($A43,'liste reference'!$B$7:$D$904,1,0)),VLOOKUP($A43,'liste reference'!$A$7:$D$904,2,0))</f>
        <v>Cyperus fuscus</v>
      </c>
      <c r="E43" s="496" t="e">
        <f aca="false">IF(D43="",0,VLOOKUP(D43,D$22:D42,1,0))</f>
        <v>#N/A</v>
      </c>
      <c r="F43" s="500"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Cyperus fuscus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1499</v>
      </c>
      <c r="Q43" s="486" t="n">
        <f aca="false">IF(ISTEXT(H43),"",(B43*$B$7/100)+(C43*$C$7/100))</f>
        <v>0.005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CYPFUS</v>
      </c>
      <c r="Z43" s="280" t="n">
        <f aca="false">IF(ISERROR(MATCH(A43,'liste reference'!$A$8:$A$904,0)),IF(ISERROR(MATCH(A43,'liste reference'!$B$8:$B$904,0)),"",(MATCH(A43,'liste reference'!$B$8:$B$904,0))),(MATCH(A43,'liste reference'!$A$8:$A$904,0)))</f>
        <v>555</v>
      </c>
      <c r="AA43" s="491"/>
      <c r="AB43" s="492"/>
      <c r="AC43" s="492"/>
      <c r="BB43" s="280" t="n">
        <f aca="false">IF(A43="","",1)</f>
        <v>1</v>
      </c>
    </row>
    <row r="44" customFormat="false" ht="13.2" hidden="false" customHeight="false" outlineLevel="0" collapsed="false">
      <c r="A44" s="493" t="s">
        <v>1847</v>
      </c>
      <c r="B44" s="494" t="n">
        <v>0.01</v>
      </c>
      <c r="C44" s="495"/>
      <c r="D44" s="477" t="str">
        <f aca="false">IF(ISERROR(VLOOKUP($A44,'liste reference'!$A$7:$D$904,2,0)),IF(ISERROR(VLOOKUP($A44,'liste reference'!$B$7:$D$904,1,0)),"",VLOOKUP($A44,'liste reference'!$B$7:$D$904,1,0)),VLOOKUP($A44,'liste reference'!$A$7:$D$904,2,0))</f>
        <v>Eupatorium cannabinum</v>
      </c>
      <c r="E44" s="496" t="e">
        <f aca="false">IF(D44="",0,VLOOKUP(D44,D$22:D43,1,0))</f>
        <v>#N/A</v>
      </c>
      <c r="F44" s="500" t="n">
        <f aca="false">($B44*$B$7+$C44*$C$7)/100</f>
        <v>0.0065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Eupatorium cannabinum</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1741</v>
      </c>
      <c r="Q44" s="486" t="n">
        <f aca="false">IF(ISTEXT(H44),"",(B44*$B$7/100)+(C44*$C$7/100))</f>
        <v>0.0065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EUPCAN</v>
      </c>
      <c r="Z44" s="280" t="n">
        <f aca="false">IF(ISERROR(MATCH(A44,'liste reference'!$A$8:$A$904,0)),IF(ISERROR(MATCH(A44,'liste reference'!$B$8:$B$904,0)),"",(MATCH(A44,'liste reference'!$B$8:$B$904,0))),(MATCH(A44,'liste reference'!$A$8:$A$904,0)))</f>
        <v>568</v>
      </c>
      <c r="AA44" s="491"/>
      <c r="AB44" s="492"/>
      <c r="AC44" s="492"/>
      <c r="BB44" s="280" t="n">
        <f aca="false">IF(A44="","",1)</f>
        <v>1</v>
      </c>
    </row>
    <row r="45" customFormat="false" ht="13.2" hidden="false" customHeight="false" outlineLevel="0" collapsed="false">
      <c r="A45" s="493" t="s">
        <v>1882</v>
      </c>
      <c r="B45" s="494" t="n">
        <v>0.5</v>
      </c>
      <c r="C45" s="495" t="n">
        <v>0.05</v>
      </c>
      <c r="D45" s="477" t="str">
        <f aca="false">IF(ISERROR(VLOOKUP($A45,'liste reference'!$A$7:$D$904,2,0)),IF(ISERROR(VLOOKUP($A45,'liste reference'!$B$7:$D$904,1,0)),"",VLOOKUP($A45,'liste reference'!$B$7:$D$904,1,0)),VLOOKUP($A45,'liste reference'!$A$7:$D$904,2,0))</f>
        <v>Iris pseudacorus</v>
      </c>
      <c r="E45" s="496" t="e">
        <f aca="false">IF(D45="",0,VLOOKUP(D45,D$22:D44,1,0))</f>
        <v>#N/A</v>
      </c>
      <c r="F45" s="500" t="n">
        <f aca="false">($B45*$B$7+$C45*$C$7)/100</f>
        <v>0.3425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10</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Iris pseudacorus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1601</v>
      </c>
      <c r="Q45" s="486" t="n">
        <f aca="false">IF(ISTEXT(H45),"",(B45*$B$7/100)+(C45*$C$7/100))</f>
        <v>0.3425</v>
      </c>
      <c r="R45" s="487" t="n">
        <f aca="false">IF(OR(ISTEXT(H45),Q45=0),"",IF(Q45&lt;0.1,1,IF(Q45&lt;1,2,IF(Q45&lt;10,3,IF(Q45&lt;50,4,IF(Q45&gt;=50,5,""))))))</f>
        <v>2</v>
      </c>
      <c r="S45" s="487" t="n">
        <f aca="false">IF(ISERROR(R45*I45),0,R45*I45)</f>
        <v>20</v>
      </c>
      <c r="T45" s="487" t="n">
        <f aca="false">IF(ISERROR(R45*I45*J45),0,R45*I45*J45)</f>
        <v>20</v>
      </c>
      <c r="U45" s="499" t="n">
        <f aca="false">IF(ISERROR(R45*J45),0,R45*J45)</f>
        <v>2</v>
      </c>
      <c r="V45" s="488" t="str">
        <f aca="false">IF(AND(A45="",F45=0),"",IF(F45=0,"Il manque le(s) % de rec. !",""))</f>
        <v/>
      </c>
      <c r="W45" s="489"/>
      <c r="Y45" s="490" t="str">
        <f aca="false">IF(A45="new.cod","NEWCOD",IF(AND((Z45=""),ISTEXT(A45)),A45,IF(Z45="","",INDEX('liste reference'!$A$8:$A$904,Z45))))</f>
        <v>IRIPSE</v>
      </c>
      <c r="Z45" s="280" t="n">
        <f aca="false">IF(ISERROR(MATCH(A45,'liste reference'!$A$8:$A$904,0)),IF(ISERROR(MATCH(A45,'liste reference'!$B$8:$B$904,0)),"",(MATCH(A45,'liste reference'!$B$8:$B$904,0))),(MATCH(A45,'liste reference'!$A$8:$A$904,0)))</f>
        <v>582</v>
      </c>
      <c r="AA45" s="491"/>
      <c r="AB45" s="492"/>
      <c r="AC45" s="492"/>
      <c r="BB45" s="280" t="n">
        <f aca="false">IF(A45="","",1)</f>
        <v>1</v>
      </c>
    </row>
    <row r="46" customFormat="false" ht="13.2" hidden="false" customHeight="false" outlineLevel="0" collapsed="false">
      <c r="A46" s="493" t="s">
        <v>1895</v>
      </c>
      <c r="B46" s="494" t="n">
        <v>0.02</v>
      </c>
      <c r="C46" s="495"/>
      <c r="D46" s="477" t="str">
        <f aca="false">IF(ISERROR(VLOOKUP($A46,'liste reference'!$A$7:$D$904,2,0)),IF(ISERROR(VLOOKUP($A46,'liste reference'!$B$7:$D$904,1,0)),"",VLOOKUP($A46,'liste reference'!$B$7:$D$904,1,0)),VLOOKUP($A46,'liste reference'!$A$7:$D$904,2,0))</f>
        <v>Juncus inflexus</v>
      </c>
      <c r="E46" s="496" t="e">
        <f aca="false">IF(D46="",0,VLOOKUP(D46,D$22:D45,1,0))</f>
        <v>#N/A</v>
      </c>
      <c r="F46" s="500" t="n">
        <f aca="false">($B46*$B$7+$C46*$C$7)/100</f>
        <v>0.013</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Juncus inflexus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1616</v>
      </c>
      <c r="Q46" s="486" t="n">
        <f aca="false">IF(ISTEXT(H46),"",(B46*$B$7/100)+(C46*$C$7/100))</f>
        <v>0.013</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JUNINF</v>
      </c>
      <c r="Z46" s="280" t="n">
        <f aca="false">IF(ISERROR(MATCH(A46,'liste reference'!$A$8:$A$904,0)),IF(ISERROR(MATCH(A46,'liste reference'!$B$8:$B$904,0)),"",(MATCH(A46,'liste reference'!$B$8:$B$904,0))),(MATCH(A46,'liste reference'!$A$8:$A$904,0)))</f>
        <v>588</v>
      </c>
      <c r="AA46" s="491"/>
      <c r="AB46" s="492"/>
      <c r="AC46" s="492"/>
      <c r="BB46" s="280" t="n">
        <f aca="false">IF(A46="","",1)</f>
        <v>1</v>
      </c>
    </row>
    <row r="47" customFormat="false" ht="13.2" hidden="false" customHeight="false" outlineLevel="0" collapsed="false">
      <c r="A47" s="493" t="s">
        <v>1913</v>
      </c>
      <c r="B47" s="494" t="n">
        <v>0.03</v>
      </c>
      <c r="C47" s="495" t="n">
        <v>0.01</v>
      </c>
      <c r="D47" s="477" t="str">
        <f aca="false">IF(ISERROR(VLOOKUP($A47,'liste reference'!$A$7:$D$904,2,0)),IF(ISERROR(VLOOKUP($A47,'liste reference'!$B$7:$D$904,1,0)),"",VLOOKUP($A47,'liste reference'!$B$7:$D$904,1,0)),VLOOKUP($A47,'liste reference'!$A$7:$D$904,2,0))</f>
        <v>Lycopus europaeus</v>
      </c>
      <c r="E47" s="496" t="e">
        <f aca="false">IF(D47="",0,VLOOKUP(D47,D$22:D46,1,0))</f>
        <v>#N/A</v>
      </c>
      <c r="F47" s="500" t="n">
        <f aca="false">($B47*$B$7+$C47*$C$7)/100</f>
        <v>0.023</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11</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Lycopus europaeus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1789</v>
      </c>
      <c r="Q47" s="486" t="n">
        <f aca="false">IF(ISTEXT(H47),"",(B47*$B$7/100)+(C47*$C$7/100))</f>
        <v>0.023</v>
      </c>
      <c r="R47" s="487" t="n">
        <f aca="false">IF(OR(ISTEXT(H47),Q47=0),"",IF(Q47&lt;0.1,1,IF(Q47&lt;1,2,IF(Q47&lt;10,3,IF(Q47&lt;50,4,IF(Q47&gt;=50,5,""))))))</f>
        <v>1</v>
      </c>
      <c r="S47" s="487" t="n">
        <f aca="false">IF(ISERROR(R47*I47),0,R47*I47)</f>
        <v>11</v>
      </c>
      <c r="T47" s="487" t="n">
        <f aca="false">IF(ISERROR(R47*I47*J47),0,R47*I47*J47)</f>
        <v>11</v>
      </c>
      <c r="U47" s="499" t="n">
        <f aca="false">IF(ISERROR(R47*J47),0,R47*J47)</f>
        <v>1</v>
      </c>
      <c r="V47" s="488" t="str">
        <f aca="false">IF(AND(A47="",F47=0),"",IF(F47=0,"Il manque le(s) % de rec. !",""))</f>
        <v/>
      </c>
      <c r="W47" s="489"/>
      <c r="Y47" s="490" t="str">
        <f aca="false">IF(A47="new.cod","NEWCOD",IF(AND((Z47=""),ISTEXT(A47)),A47,IF(Z47="","",INDEX('liste reference'!$A$8:$A$904,Z47))))</f>
        <v>LYCEUR</v>
      </c>
      <c r="Z47" s="280" t="n">
        <f aca="false">IF(ISERROR(MATCH(A47,'liste reference'!$A$8:$A$904,0)),IF(ISERROR(MATCH(A47,'liste reference'!$B$8:$B$904,0)),"",(MATCH(A47,'liste reference'!$B$8:$B$904,0))),(MATCH(A47,'liste reference'!$A$8:$A$904,0)))</f>
        <v>596</v>
      </c>
      <c r="AA47" s="491"/>
      <c r="AB47" s="492"/>
      <c r="AC47" s="492"/>
      <c r="BB47" s="280" t="n">
        <f aca="false">IF(A47="","",1)</f>
        <v>1</v>
      </c>
    </row>
    <row r="48" customFormat="false" ht="13.2" hidden="false" customHeight="false" outlineLevel="0" collapsed="false">
      <c r="A48" s="493" t="s">
        <v>1923</v>
      </c>
      <c r="B48" s="494" t="n">
        <v>0.01</v>
      </c>
      <c r="C48" s="495"/>
      <c r="D48" s="477" t="str">
        <f aca="false">IF(ISERROR(VLOOKUP($A48,'liste reference'!$A$7:$D$904,2,0)),IF(ISERROR(VLOOKUP($A48,'liste reference'!$B$7:$D$904,1,0)),"",VLOOKUP($A48,'liste reference'!$B$7:$D$904,1,0)),VLOOKUP($A48,'liste reference'!$A$7:$D$904,2,0))</f>
        <v>Lysimachia vulgaris</v>
      </c>
      <c r="E48" s="496" t="e">
        <f aca="false">IF(D48="",0,VLOOKUP(D48,D$22:D47,1,0))</f>
        <v>#N/A</v>
      </c>
      <c r="F48" s="500" t="n">
        <f aca="false">($B48*$B$7+$C48*$C$7)/100</f>
        <v>0.0065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Lysimachia vulgaris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1887</v>
      </c>
      <c r="Q48" s="486" t="n">
        <f aca="false">IF(ISTEXT(H48),"",(B48*$B$7/100)+(C48*$C$7/100))</f>
        <v>0.0065</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LYSVUL</v>
      </c>
      <c r="Z48" s="280" t="n">
        <f aca="false">IF(ISERROR(MATCH(A48,'liste reference'!$A$8:$A$904,0)),IF(ISERROR(MATCH(A48,'liste reference'!$B$8:$B$904,0)),"",(MATCH(A48,'liste reference'!$B$8:$B$904,0))),(MATCH(A48,'liste reference'!$A$8:$A$904,0)))</f>
        <v>601</v>
      </c>
      <c r="AA48" s="491"/>
      <c r="AB48" s="492"/>
      <c r="AC48" s="492"/>
      <c r="BB48" s="280" t="n">
        <f aca="false">IF(A48="","",1)</f>
        <v>1</v>
      </c>
    </row>
    <row r="49" customFormat="false" ht="13.2" hidden="false" customHeight="false" outlineLevel="0" collapsed="false">
      <c r="A49" s="493" t="s">
        <v>1932</v>
      </c>
      <c r="B49" s="494" t="n">
        <v>0.5</v>
      </c>
      <c r="C49" s="495" t="n">
        <v>0.1</v>
      </c>
      <c r="D49" s="477" t="str">
        <f aca="false">IF(ISERROR(VLOOKUP($A49,'liste reference'!$A$7:$D$904,2,0)),IF(ISERROR(VLOOKUP($A49,'liste reference'!$B$7:$D$904,1,0)),"",VLOOKUP($A49,'liste reference'!$B$7:$D$904,1,0)),VLOOKUP($A49,'liste reference'!$A$7:$D$904,2,0))</f>
        <v>Lythrum salicaria</v>
      </c>
      <c r="E49" s="496" t="e">
        <f aca="false">IF(D49="",0,VLOOKUP(D49,D$22:D48,1,0))</f>
        <v>#N/A</v>
      </c>
      <c r="F49" s="500" t="n">
        <f aca="false">($B49*$B$7+$C49*$C$7)/100</f>
        <v>0.36</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0</v>
      </c>
      <c r="J49" s="481" t="n">
        <f aca="false">IF(ISNUMBER(H49),IF(ISERROR(VLOOKUP($A49,'liste reference'!$A$7:$P$904,4,0)),IF(ISERROR(VLOOKUP($A49,'liste reference'!$B$7:$P$904,3,0)),"",VLOOKUP($A49,'liste reference'!$B$7:$P$904,3,0)),VLOOKUP($A49,'liste reference'!$A$7:$P$904,4,0)),"")</f>
        <v>0</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Lythrum salicaria</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1823</v>
      </c>
      <c r="Q49" s="486" t="n">
        <f aca="false">IF(ISTEXT(H49),"",(B49*$B$7/100)+(C49*$C$7/100))</f>
        <v>0.36</v>
      </c>
      <c r="R49" s="487" t="n">
        <f aca="false">IF(OR(ISTEXT(H49),Q49=0),"",IF(Q49&lt;0.1,1,IF(Q49&lt;1,2,IF(Q49&lt;10,3,IF(Q49&lt;50,4,IF(Q49&gt;=50,5,""))))))</f>
        <v>2</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LYTSAL</v>
      </c>
      <c r="Z49" s="280" t="n">
        <f aca="false">IF(ISERROR(MATCH(A49,'liste reference'!$A$8:$A$904,0)),IF(ISERROR(MATCH(A49,'liste reference'!$B$8:$B$904,0)),"",(MATCH(A49,'liste reference'!$B$8:$B$904,0))),(MATCH(A49,'liste reference'!$A$8:$A$904,0)))</f>
        <v>605</v>
      </c>
      <c r="AA49" s="491"/>
      <c r="AB49" s="492"/>
      <c r="AC49" s="492"/>
      <c r="BB49" s="280" t="n">
        <f aca="false">IF(A49="","",1)</f>
        <v>1</v>
      </c>
    </row>
    <row r="50" customFormat="false" ht="13.2" hidden="false" customHeight="false" outlineLevel="0" collapsed="false">
      <c r="A50" s="493" t="s">
        <v>1940</v>
      </c>
      <c r="B50" s="494" t="n">
        <v>0.5</v>
      </c>
      <c r="C50" s="495"/>
      <c r="D50" s="477" t="str">
        <f aca="false">IF(ISERROR(VLOOKUP($A50,'liste reference'!$A$7:$D$904,2,0)),IF(ISERROR(VLOOKUP($A50,'liste reference'!$B$7:$D$904,1,0)),"",VLOOKUP($A50,'liste reference'!$B$7:$D$904,1,0)),VLOOKUP($A50,'liste reference'!$A$7:$D$904,2,0))</f>
        <v>Mentha longifolia</v>
      </c>
      <c r="E50" s="496" t="e">
        <f aca="false">IF(D50="",0,VLOOKUP(D50,D$22:D49,1,0))</f>
        <v>#N/A</v>
      </c>
      <c r="F50" s="500" t="n">
        <f aca="false">($B50*$B$7+$C50*$C$7)/100</f>
        <v>0.325</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Mentha longifolia</v>
      </c>
      <c r="L50" s="498"/>
      <c r="M50" s="498"/>
      <c r="N50" s="498"/>
      <c r="O50" s="484" t="s">
        <v>2686</v>
      </c>
      <c r="P50" s="485" t="n">
        <f aca="false">IF($A50="NEWCOD",IF($AC50="","No",$AC50),IF(ISTEXT($E50),"DEJA SAISI !",IF($A50="","",IF(ISERROR(VLOOKUP($A50,'liste reference'!A:S,19,FALSE())),IF(ISERROR(VLOOKUP($A50,'liste reference'!B:S,19,FALSE())),"",VLOOKUP($A50,'liste reference'!B:S,19,FALSE())),VLOOKUP($A50,'liste reference'!A:S,19,FALSE())))))</f>
        <v>19856</v>
      </c>
      <c r="Q50" s="486" t="n">
        <f aca="false">IF(ISTEXT(H50),"",(B50*$B$7/100)+(C50*$C$7/100))</f>
        <v>0.325</v>
      </c>
      <c r="R50" s="487" t="n">
        <f aca="false">IF(OR(ISTEXT(H50),Q50=0),"",IF(Q50&lt;0.1,1,IF(Q50&lt;1,2,IF(Q50&lt;10,3,IF(Q50&lt;50,4,IF(Q50&gt;=50,5,""))))))</f>
        <v>2</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MENLON</v>
      </c>
      <c r="Z50" s="280" t="n">
        <f aca="false">IF(ISERROR(MATCH(A50,'liste reference'!$A$8:$A$904,0)),IF(ISERROR(MATCH(A50,'liste reference'!$B$8:$B$904,0)),"",(MATCH(A50,'liste reference'!$B$8:$B$904,0))),(MATCH(A50,'liste reference'!$A$8:$A$904,0)))</f>
        <v>609</v>
      </c>
      <c r="AA50" s="491" t="s">
        <v>2686</v>
      </c>
      <c r="AB50" s="492"/>
      <c r="AC50" s="492"/>
      <c r="BB50" s="280" t="n">
        <f aca="false">IF(A50="","",1)</f>
        <v>1</v>
      </c>
    </row>
    <row r="51" customFormat="false" ht="13.2" hidden="false" customHeight="false" outlineLevel="0" collapsed="false">
      <c r="A51" s="493" t="s">
        <v>2000</v>
      </c>
      <c r="B51" s="494" t="n">
        <v>0.2</v>
      </c>
      <c r="C51" s="495"/>
      <c r="D51" s="477" t="str">
        <f aca="false">IF(ISERROR(VLOOKUP($A51,'liste reference'!$A$7:$D$904,2,0)),IF(ISERROR(VLOOKUP($A51,'liste reference'!$B$7:$D$904,1,0)),"",VLOOKUP($A51,'liste reference'!$B$7:$D$904,1,0)),VLOOKUP($A51,'liste reference'!$A$7:$D$904,2,0))</f>
        <v>Phalaris arundinacea</v>
      </c>
      <c r="E51" s="496" t="e">
        <f aca="false">IF(D51="",0,VLOOKUP(D51,D$22:D50,1,0))</f>
        <v>#N/A</v>
      </c>
      <c r="F51" s="500" t="n">
        <f aca="false">($B51*$B$7+$C51*$C$7)/100</f>
        <v>0.13</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10</v>
      </c>
      <c r="J51" s="481" t="n">
        <f aca="false">IF(ISNUMBER(H51),IF(ISERROR(VLOOKUP($A51,'liste reference'!$A$7:$P$904,4,0)),IF(ISERROR(VLOOKUP($A51,'liste reference'!$B$7:$P$904,3,0)),"",VLOOKUP($A51,'liste reference'!$B$7:$P$904,3,0)),VLOOKUP($A51,'liste reference'!$A$7:$P$904,4,0)),"")</f>
        <v>1</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Phalaris arundinacea</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1577</v>
      </c>
      <c r="Q51" s="486" t="n">
        <f aca="false">IF(ISTEXT(H51),"",(B51*$B$7/100)+(C51*$C$7/100))</f>
        <v>0.13</v>
      </c>
      <c r="R51" s="487" t="n">
        <f aca="false">IF(OR(ISTEXT(H51),Q51=0),"",IF(Q51&lt;0.1,1,IF(Q51&lt;1,2,IF(Q51&lt;10,3,IF(Q51&lt;50,4,IF(Q51&gt;=50,5,""))))))</f>
        <v>2</v>
      </c>
      <c r="S51" s="487" t="n">
        <f aca="false">IF(ISERROR(R51*I51),0,R51*I51)</f>
        <v>20</v>
      </c>
      <c r="T51" s="487" t="n">
        <f aca="false">IF(ISERROR(R51*I51*J51),0,R51*I51*J51)</f>
        <v>20</v>
      </c>
      <c r="U51" s="499" t="n">
        <f aca="false">IF(ISERROR(R51*J51),0,R51*J51)</f>
        <v>2</v>
      </c>
      <c r="V51" s="488" t="str">
        <f aca="false">IF(AND(A51="",F51=0),"",IF(F51=0,"Il manque le(s) % de rec. !",""))</f>
        <v/>
      </c>
      <c r="W51" s="489"/>
      <c r="Y51" s="490" t="str">
        <f aca="false">IF(A51="new.cod","NEWCOD",IF(AND((Z51=""),ISTEXT(A51)),A51,IF(Z51="","",INDEX('liste reference'!$A$8:$A$904,Z51))))</f>
        <v>PHAARU</v>
      </c>
      <c r="Z51" s="280" t="n">
        <f aca="false">IF(ISERROR(MATCH(A51,'liste reference'!$A$8:$A$904,0)),IF(ISERROR(MATCH(A51,'liste reference'!$B$8:$B$904,0)),"",(MATCH(A51,'liste reference'!$B$8:$B$904,0))),(MATCH(A51,'liste reference'!$A$8:$A$904,0)))</f>
        <v>634</v>
      </c>
      <c r="AA51" s="491"/>
      <c r="AB51" s="492"/>
      <c r="AC51" s="492"/>
      <c r="BB51" s="280" t="n">
        <f aca="false">IF(A51="","",1)</f>
        <v>1</v>
      </c>
    </row>
    <row r="52" customFormat="false" ht="13.2" hidden="false" customHeight="false" outlineLevel="0" collapsed="false">
      <c r="A52" s="493" t="s">
        <v>2002</v>
      </c>
      <c r="B52" s="494" t="n">
        <v>1</v>
      </c>
      <c r="C52" s="495" t="n">
        <v>0.2</v>
      </c>
      <c r="D52" s="477" t="str">
        <f aca="false">IF(ISERROR(VLOOKUP($A52,'liste reference'!$A$7:$D$904,2,0)),IF(ISERROR(VLOOKUP($A52,'liste reference'!$B$7:$D$904,1,0)),"",VLOOKUP($A52,'liste reference'!$B$7:$D$904,1,0)),VLOOKUP($A52,'liste reference'!$A$7:$D$904,2,0))</f>
        <v>Phragmites australis</v>
      </c>
      <c r="E52" s="496" t="e">
        <f aca="false">IF(D52="",0,VLOOKUP(D52,D$22:D51,1,0))</f>
        <v>#N/A</v>
      </c>
      <c r="F52" s="500" t="n">
        <f aca="false">($B52*$B$7+$C52*$C$7)/100</f>
        <v>0.72</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9</v>
      </c>
      <c r="J52" s="481" t="n">
        <f aca="false">IF(ISNUMBER(H52),IF(ISERROR(VLOOKUP($A52,'liste reference'!$A$7:$P$904,4,0)),IF(ISERROR(VLOOKUP($A52,'liste reference'!$B$7:$P$904,3,0)),"",VLOOKUP($A52,'liste reference'!$B$7:$P$904,3,0)),VLOOKUP($A52,'liste reference'!$A$7:$P$904,4,0)),"")</f>
        <v>2</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Phragmites australis</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1579</v>
      </c>
      <c r="Q52" s="486" t="n">
        <f aca="false">IF(ISTEXT(H52),"",(B52*$B$7/100)+(C52*$C$7/100))</f>
        <v>0.72</v>
      </c>
      <c r="R52" s="487" t="n">
        <f aca="false">IF(OR(ISTEXT(H52),Q52=0),"",IF(Q52&lt;0.1,1,IF(Q52&lt;1,2,IF(Q52&lt;10,3,IF(Q52&lt;50,4,IF(Q52&gt;=50,5,""))))))</f>
        <v>2</v>
      </c>
      <c r="S52" s="487" t="n">
        <f aca="false">IF(ISERROR(R52*I52),0,R52*I52)</f>
        <v>18</v>
      </c>
      <c r="T52" s="487" t="n">
        <f aca="false">IF(ISERROR(R52*I52*J52),0,R52*I52*J52)</f>
        <v>36</v>
      </c>
      <c r="U52" s="499" t="n">
        <f aca="false">IF(ISERROR(R52*J52),0,R52*J52)</f>
        <v>4</v>
      </c>
      <c r="V52" s="488" t="str">
        <f aca="false">IF(AND(A52="",F52=0),"",IF(F52=0,"Il manque le(s) % de rec. !",""))</f>
        <v/>
      </c>
      <c r="W52" s="489"/>
      <c r="Y52" s="490" t="str">
        <f aca="false">IF(A52="new.cod","NEWCOD",IF(AND((Z52=""),ISTEXT(A52)),A52,IF(Z52="","",INDEX('liste reference'!$A$8:$A$904,Z52))))</f>
        <v>PHRAUS</v>
      </c>
      <c r="Z52" s="280" t="n">
        <f aca="false">IF(ISERROR(MATCH(A52,'liste reference'!$A$8:$A$904,0)),IF(ISERROR(MATCH(A52,'liste reference'!$B$8:$B$904,0)),"",(MATCH(A52,'liste reference'!$B$8:$B$904,0))),(MATCH(A52,'liste reference'!$A$8:$A$904,0)))</f>
        <v>635</v>
      </c>
      <c r="AA52" s="491"/>
      <c r="AB52" s="492"/>
      <c r="AC52" s="492"/>
      <c r="BB52" s="280" t="n">
        <f aca="false">IF(A52="","",1)</f>
        <v>1</v>
      </c>
    </row>
    <row r="53" customFormat="false" ht="13.2" hidden="false" customHeight="false" outlineLevel="0" collapsed="false">
      <c r="A53" s="493" t="s">
        <v>2068</v>
      </c>
      <c r="B53" s="494"/>
      <c r="C53" s="495" t="n">
        <v>0.005</v>
      </c>
      <c r="D53" s="477" t="str">
        <f aca="false">IF(ISERROR(VLOOKUP($A53,'liste reference'!$A$7:$D$904,2,0)),IF(ISERROR(VLOOKUP($A53,'liste reference'!$B$7:$D$904,1,0)),"",VLOOKUP($A53,'liste reference'!$B$7:$D$904,1,0)),VLOOKUP($A53,'liste reference'!$A$7:$D$904,2,0))</f>
        <v>Scirpus lacustris</v>
      </c>
      <c r="E53" s="496" t="e">
        <f aca="false">IF(D53="",0,VLOOKUP(D53,D$21:D52,1,0))</f>
        <v>#N/A</v>
      </c>
      <c r="F53" s="500" t="n">
        <f aca="false">($B53*$B$7+$C53*$C$7)/100</f>
        <v>0.00175</v>
      </c>
      <c r="G53" s="479" t="str">
        <f aca="false">IF(A53="","",IF(ISERROR(VLOOKUP($A53,'liste reference'!$A$7:$P$904,13,0)),IF(ISERROR(VLOOKUP($A53,'liste reference'!$B$7:$P$904,12,0)),"    -",VLOOKUP($A53,'liste reference'!$B$7:$P$904,12,0)),VLOOKUP($A53,'liste reference'!$A$7:$P$904,13,0)))</f>
        <v>PHe</v>
      </c>
      <c r="H53" s="480" t="n">
        <f aca="false">IF(A53="","x",IF(ISERROR(VLOOKUP($A53,'liste reference'!$A$8:$P$904,14,0)),IF(ISERROR(VLOOKUP($A53,'liste reference'!$B$8:$P$904,13,0)),"x",VLOOKUP($A53,'liste reference'!$B$8:$P$904,13,0)),VLOOKUP($A53,'liste reference'!$A$8:$P$904,14,0)))</f>
        <v>8</v>
      </c>
      <c r="I53" s="481" t="n">
        <f aca="false">IF(ISNUMBER(H53),IF(ISERROR(VLOOKUP($A53,'liste reference'!$A$7:$P$904,3,0)),IF(ISERROR(VLOOKUP($A53,'liste reference'!$B$7:$P$904,2,0)),"",VLOOKUP($A53,'liste reference'!$B$7:$P$904,2,0)),VLOOKUP($A53,'liste reference'!$A$7:$P$904,3,0)),"")</f>
        <v>8</v>
      </c>
      <c r="J53" s="481" t="n">
        <f aca="false">IF(ISNUMBER(H53),IF(ISERROR(VLOOKUP($A53,'liste reference'!$A$7:$P$904,4,0)),IF(ISERROR(VLOOKUP($A53,'liste reference'!$B$7:$P$904,3,0)),"",VLOOKUP($A53,'liste reference'!$B$7:$P$904,3,0)),VLOOKUP($A53,'liste reference'!$A$7:$P$904,4,0)),"")</f>
        <v>2</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Scirpus lacustris</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1520</v>
      </c>
      <c r="Q53" s="486" t="n">
        <f aca="false">IF(ISTEXT(H53),"",(B53*$B$7/100)+(C53*$C$7/100))</f>
        <v>0.00175</v>
      </c>
      <c r="R53" s="487" t="n">
        <f aca="false">IF(OR(ISTEXT(H53),Q53=0),"",IF(Q53&lt;0.1,1,IF(Q53&lt;1,2,IF(Q53&lt;10,3,IF(Q53&lt;50,4,IF(Q53&gt;=50,5,""))))))</f>
        <v>1</v>
      </c>
      <c r="S53" s="487" t="n">
        <f aca="false">IF(ISERROR(R53*I53),0,R53*I53)</f>
        <v>8</v>
      </c>
      <c r="T53" s="487" t="n">
        <f aca="false">IF(ISERROR(R53*I53*J53),0,R53*I53*J53)</f>
        <v>16</v>
      </c>
      <c r="U53" s="499" t="n">
        <f aca="false">IF(ISERROR(R53*J53),0,R53*J53)</f>
        <v>2</v>
      </c>
      <c r="V53" s="488" t="str">
        <f aca="false">IF(AND(A53="",F53=0),"",IF(F53=0,"Il manque le(s) % de rec. !",""))</f>
        <v/>
      </c>
      <c r="W53" s="489"/>
      <c r="X53" s="503"/>
      <c r="Y53" s="490" t="str">
        <f aca="false">IF(A53="new.cod","NEWCOD",IF(AND((Z53=""),ISTEXT(A53)),A53,IF(Z53="","",INDEX('liste reference'!$A$8:$A$904,Z53))))</f>
        <v>SCILAC</v>
      </c>
      <c r="Z53" s="280" t="n">
        <f aca="false">IF(ISERROR(MATCH(A53,'liste reference'!$A$8:$A$904,0)),IF(ISERROR(MATCH(A53,'liste reference'!$B$8:$B$904,0)),"",(MATCH(A53,'liste reference'!$B$8:$B$904,0))),(MATCH(A53,'liste reference'!$A$8:$A$904,0)))</f>
        <v>663</v>
      </c>
      <c r="AA53" s="491"/>
      <c r="AB53" s="492"/>
      <c r="AC53" s="492"/>
      <c r="BB53" s="280" t="n">
        <f aca="false">IF(A53="","",1)</f>
        <v>1</v>
      </c>
    </row>
    <row r="54" customFormat="false" ht="13.2" hidden="false" customHeight="false" outlineLevel="0" collapsed="false">
      <c r="A54" s="493" t="s">
        <v>2066</v>
      </c>
      <c r="B54" s="494" t="n">
        <v>0.02</v>
      </c>
      <c r="C54" s="495"/>
      <c r="D54" s="477" t="str">
        <f aca="false">IF(ISERROR(VLOOKUP($A54,'liste reference'!$A$7:$D$904,2,0)),IF(ISERROR(VLOOKUP($A54,'liste reference'!$B$7:$D$904,1,0)),"",VLOOKUP($A54,'liste reference'!$B$7:$D$904,1,0)),VLOOKUP($A54,'liste reference'!$A$7:$D$904,2,0))</f>
        <v>Scirpoides holoschoenus</v>
      </c>
      <c r="E54" s="496" t="e">
        <f aca="false">IF(D54="",0,VLOOKUP(D54,D$22:D53,1,0))</f>
        <v>#N/A</v>
      </c>
      <c r="F54" s="500" t="n">
        <f aca="false">($B54*$B$7+$C54*$C$7)/100</f>
        <v>0.013</v>
      </c>
      <c r="G54" s="479" t="str">
        <f aca="false">IF(A54="","",IF(ISERROR(VLOOKUP($A54,'liste reference'!$A$7:$P$904,13,0)),IF(ISERROR(VLOOKUP($A54,'liste reference'!$B$7:$P$904,12,0)),"    -",VLOOKUP($A54,'liste reference'!$B$7:$P$904,12,0)),VLOOKUP($A54,'liste reference'!$A$7:$P$904,13,0)))</f>
        <v>PHe</v>
      </c>
      <c r="H54" s="480" t="n">
        <f aca="false">IF(A54="","x",IF(ISERROR(VLOOKUP($A54,'liste reference'!$A$8:$P$904,14,0)),IF(ISERROR(VLOOKUP($A54,'liste reference'!$B$8:$P$904,13,0)),"x",VLOOKUP($A54,'liste reference'!$B$8:$P$904,13,0)),VLOOKUP($A54,'liste reference'!$A$8:$P$904,14,0)))</f>
        <v>8</v>
      </c>
      <c r="I54" s="481" t="n">
        <f aca="false">IF(ISNUMBER(H54),IF(ISERROR(VLOOKUP($A54,'liste reference'!$A$7:$P$904,3,0)),IF(ISERROR(VLOOKUP($A54,'liste reference'!$B$7:$P$904,2,0)),"",VLOOKUP($A54,'liste reference'!$B$7:$P$904,2,0)),VLOOKUP($A54,'liste reference'!$A$7:$P$904,3,0)),"")</f>
        <v>0</v>
      </c>
      <c r="J54" s="481" t="n">
        <f aca="false">IF(ISNUMBER(H54),IF(ISERROR(VLOOKUP($A54,'liste reference'!$A$7:$P$904,4,0)),IF(ISERROR(VLOOKUP($A54,'liste reference'!$B$7:$P$904,3,0)),"",VLOOKUP($A54,'liste reference'!$B$7:$P$904,3,0)),VLOOKUP($A54,'liste reference'!$A$7:$P$904,4,0)),"")</f>
        <v>0</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Scirpoides holoschoenus</v>
      </c>
      <c r="L54" s="498"/>
      <c r="M54" s="498"/>
      <c r="N54" s="498"/>
      <c r="O54" s="484"/>
      <c r="P54" s="485" t="n">
        <f aca="false">IF($A54="NEWCOD",IF($AC54="","No",$AC54),IF(ISTEXT($E54),"DEJA SAISI !",IF($A54="","",IF(ISERROR(VLOOKUP($A54,'liste reference'!A:S,19,FALSE())),IF(ISERROR(VLOOKUP($A54,'liste reference'!B:S,19,FALSE())),"",VLOOKUP($A54,'liste reference'!B:S,19,FALSE())),VLOOKUP($A54,'liste reference'!A:S,19,FALSE())))))</f>
        <v>19685</v>
      </c>
      <c r="Q54" s="486" t="n">
        <f aca="false">IF(ISTEXT(H54),"",(B54*$B$7/100)+(C54*$C$7/100))</f>
        <v>0.013</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SCPHOL</v>
      </c>
      <c r="Z54" s="280" t="n">
        <f aca="false">IF(ISERROR(MATCH(A54,'liste reference'!$A$8:$A$904,0)),IF(ISERROR(MATCH(A54,'liste reference'!$B$8:$B$904,0)),"",(MATCH(A54,'liste reference'!$B$8:$B$904,0))),(MATCH(A54,'liste reference'!$A$8:$A$904,0)))</f>
        <v>662</v>
      </c>
      <c r="AA54" s="491"/>
      <c r="AB54" s="492"/>
      <c r="AC54" s="492"/>
      <c r="BB54" s="280" t="n">
        <f aca="false">IF(A54="","",1)</f>
        <v>1</v>
      </c>
    </row>
    <row r="55" customFormat="false" ht="13.2" hidden="false" customHeight="false" outlineLevel="0" collapsed="false">
      <c r="A55" s="493" t="s">
        <v>2369</v>
      </c>
      <c r="B55" s="494" t="n">
        <v>0.2</v>
      </c>
      <c r="C55" s="495" t="n">
        <v>0.1</v>
      </c>
      <c r="D55" s="477" t="str">
        <f aca="false">IF(ISERROR(VLOOKUP($A55,'liste reference'!$A$7:$D$904,2,0)),IF(ISERROR(VLOOKUP($A55,'liste reference'!$B$7:$D$904,1,0)),"",VLOOKUP($A55,'liste reference'!$B$7:$D$904,1,0)),VLOOKUP($A55,'liste reference'!$A$7:$D$904,2,0))</f>
        <v>Polygonum lapathifolium</v>
      </c>
      <c r="E55" s="496" t="e">
        <f aca="false">IF(D55="",0,VLOOKUP(D55,D$22:D54,1,0))</f>
        <v>#N/A</v>
      </c>
      <c r="F55" s="500" t="n">
        <f aca="false">($B55*$B$7+$C55*$C$7)/100</f>
        <v>0.165</v>
      </c>
      <c r="G55" s="479" t="str">
        <f aca="false">IF(A55="","",IF(ISERROR(VLOOKUP($A55,'liste reference'!$A$7:$P$904,13,0)),IF(ISERROR(VLOOKUP($A55,'liste reference'!$B$7:$P$904,12,0)),"    -",VLOOKUP($A55,'liste reference'!$B$7:$P$904,12,0)),VLOOKUP($A55,'liste reference'!$A$7:$P$904,13,0)))</f>
        <v>PHg</v>
      </c>
      <c r="H55" s="480" t="n">
        <f aca="false">IF(A55="","x",IF(ISERROR(VLOOKUP($A55,'liste reference'!$A$8:$P$904,14,0)),IF(ISERROR(VLOOKUP($A55,'liste reference'!$B$8:$P$904,13,0)),"x",VLOOKUP($A55,'liste reference'!$B$8:$P$904,13,0)),VLOOKUP($A55,'liste reference'!$A$8:$P$904,14,0)))</f>
        <v>9</v>
      </c>
      <c r="I55" s="481" t="n">
        <f aca="false">IF(ISNUMBER(H55),IF(ISERROR(VLOOKUP($A55,'liste reference'!$A$7:$P$904,3,0)),IF(ISERROR(VLOOKUP($A55,'liste reference'!$B$7:$P$904,2,0)),"",VLOOKUP($A55,'liste reference'!$B$7:$P$904,2,0)),VLOOKUP($A55,'liste reference'!$A$7:$P$904,3,0)),"")</f>
        <v>0</v>
      </c>
      <c r="J55" s="481" t="n">
        <f aca="false">IF(ISNUMBER(H55),IF(ISERROR(VLOOKUP($A55,'liste reference'!$A$7:$P$904,4,0)),IF(ISERROR(VLOOKUP($A55,'liste reference'!$B$7:$P$904,3,0)),"",VLOOKUP($A55,'liste reference'!$B$7:$P$904,3,0)),VLOOKUP($A55,'liste reference'!$A$7:$P$904,4,0)),"")</f>
        <v>0</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Polygonum lapathifolium</v>
      </c>
      <c r="L55" s="498"/>
      <c r="M55" s="498"/>
      <c r="N55" s="498"/>
      <c r="O55" s="484"/>
      <c r="P55" s="485" t="n">
        <f aca="false">IF($A55="NEWCOD",IF($AC55="","No",$AC55),IF(ISTEXT($E55),"DEJA SAISI !",IF($A55="","",IF(ISERROR(VLOOKUP($A55,'liste reference'!A:S,19,FALSE())),IF(ISERROR(VLOOKUP($A55,'liste reference'!B:S,19,FALSE())),"",VLOOKUP($A55,'liste reference'!B:S,19,FALSE())),VLOOKUP($A55,'liste reference'!A:S,19,FALSE())))))</f>
        <v>1866</v>
      </c>
      <c r="Q55" s="486" t="n">
        <f aca="false">IF(ISTEXT(H55),"",(B55*$B$7/100)+(C55*$C$7/100))</f>
        <v>0.165</v>
      </c>
      <c r="R55" s="487" t="n">
        <f aca="false">IF(OR(ISTEXT(H55),Q55=0),"",IF(Q55&lt;0.1,1,IF(Q55&lt;1,2,IF(Q55&lt;10,3,IF(Q55&lt;50,4,IF(Q55&gt;=50,5,""))))))</f>
        <v>2</v>
      </c>
      <c r="S55" s="487" t="n">
        <f aca="false">IF(ISERROR(R55*I55),0,R55*I55)</f>
        <v>0</v>
      </c>
      <c r="T55" s="487" t="n">
        <f aca="false">IF(ISERROR(R55*I55*J55),0,R55*I55*J55)</f>
        <v>0</v>
      </c>
      <c r="U55" s="499" t="n">
        <f aca="false">IF(ISERROR(R55*J55),0,R55*J55)</f>
        <v>0</v>
      </c>
      <c r="V55" s="488" t="str">
        <f aca="false">IF(AND(A55="",F55=0),"",IF(F55=0,"Il manque le(s) % de rec. !",""))</f>
        <v/>
      </c>
      <c r="W55" s="504"/>
      <c r="Y55" s="490" t="str">
        <f aca="false">IF(A55="new.cod","NEWCOD",IF(AND((Z55=""),ISTEXT(A55)),A55,IF(Z55="","",INDEX('liste reference'!$A$8:$A$904,Z55))))</f>
        <v>POLLAP</v>
      </c>
      <c r="Z55" s="280" t="n">
        <f aca="false">IF(ISERROR(MATCH(A55,'liste reference'!$A$8:$A$904,0)),IF(ISERROR(MATCH(A55,'liste reference'!$B$8:$B$904,0)),"",(MATCH(A55,'liste reference'!$B$8:$B$904,0))),(MATCH(A55,'liste reference'!$A$8:$A$904,0)))</f>
        <v>796</v>
      </c>
      <c r="AA55" s="491"/>
      <c r="AB55" s="492"/>
      <c r="AC55" s="492"/>
      <c r="BB55" s="280" t="n">
        <f aca="false">IF(A55="","",1)</f>
        <v>1</v>
      </c>
    </row>
    <row r="56" customFormat="false" ht="13.2" hidden="false" customHeight="false" outlineLevel="0" collapsed="false">
      <c r="A56" s="493" t="s">
        <v>2687</v>
      </c>
      <c r="B56" s="494" t="n">
        <v>0.005</v>
      </c>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0.00325</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Echinochloa crus-galli</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2688</v>
      </c>
      <c r="AC56" s="492"/>
      <c r="BB56" s="280" t="n">
        <f aca="false">IF(A56="","",1)</f>
        <v>1</v>
      </c>
    </row>
    <row r="57" customFormat="false" ht="13.2" hidden="false" customHeight="false" outlineLevel="0" collapsed="false">
      <c r="A57" s="493" t="s">
        <v>2687</v>
      </c>
      <c r="B57" s="494" t="n">
        <v>0.005</v>
      </c>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0.00325</v>
      </c>
      <c r="G57" s="479" t="str">
        <f aca="false">IF(A57="","",IF(ISERROR(VLOOKUP($A57,'liste reference'!$A$7:$P$904,13,0)),IF(ISERROR(VLOOKUP($A57,'liste reference'!$B$7:$P$904,12,0)),"    -",VLOOKUP($A57,'liste reference'!$B$7:$P$904,12,0)),VLOOKUP($A57,'liste reference'!$A$7:$P$904,13,0)))</f>
        <v>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Xanthium orientale subsp italicum</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No</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NEWCOD</v>
      </c>
      <c r="Z57" s="280" t="str">
        <f aca="false">IF(ISERROR(MATCH(A57,'liste reference'!$A$8:$A$904,0)),IF(ISERROR(MATCH(A57,'liste reference'!$B$8:$B$904,0)),"",(MATCH(A57,'liste reference'!$B$8:$B$904,0))),(MATCH(A57,'liste reference'!$A$8:$A$904,0)))</f>
        <v/>
      </c>
      <c r="AA57" s="491"/>
      <c r="AB57" s="492" t="s">
        <v>2689</v>
      </c>
      <c r="AC57" s="492"/>
      <c r="BB57" s="280" t="n">
        <f aca="false">IF(A57="","",1)</f>
        <v>1</v>
      </c>
    </row>
    <row r="58" customFormat="false" ht="13.2" hidden="false" customHeight="false" outlineLevel="0" collapsed="false">
      <c r="A58" s="493" t="s">
        <v>2687</v>
      </c>
      <c r="B58" s="494" t="n">
        <v>0.01</v>
      </c>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0.0065</v>
      </c>
      <c r="G58" s="479" t="str">
        <f aca="false">IF(A58="","",IF(ISERROR(VLOOKUP($A58,'liste reference'!$A$7:$P$904,13,0)),IF(ISERROR(VLOOKUP($A58,'liste reference'!$B$7:$P$904,12,0)),"    -",VLOOKUP($A58,'liste reference'!$B$7:$P$904,12,0)),VLOOKUP($A58,'liste reference'!$A$7:$P$904,13,0)))</f>
        <v>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Setaria viridis</v>
      </c>
      <c r="L58" s="498"/>
      <c r="M58" s="498"/>
      <c r="N58" s="498"/>
      <c r="O58" s="484" t="s">
        <v>2686</v>
      </c>
      <c r="P58" s="485" t="str">
        <f aca="false">IF($A58="NEWCOD",IF($AC58="","No",$AC58),IF(ISTEXT($E58),"DEJA SAISI !",IF($A58="","",IF(ISERROR(VLOOKUP($A58,'liste reference'!A:S,19,FALSE())),IF(ISERROR(VLOOKUP($A58,'liste reference'!B:S,19,FALSE())),"",VLOOKUP($A58,'liste reference'!B:S,19,FALSE())),VLOOKUP($A58,'liste reference'!A:S,19,FALSE())))))</f>
        <v>No</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NEWCOD</v>
      </c>
      <c r="Z58" s="280" t="str">
        <f aca="false">IF(ISERROR(MATCH(A58,'liste reference'!$A$8:$A$904,0)),IF(ISERROR(MATCH(A58,'liste reference'!$B$8:$B$904,0)),"",(MATCH(A58,'liste reference'!$B$8:$B$904,0))),(MATCH(A58,'liste reference'!$A$8:$A$904,0)))</f>
        <v/>
      </c>
      <c r="AA58" s="491" t="s">
        <v>2686</v>
      </c>
      <c r="AB58" s="492" t="s">
        <v>2690</v>
      </c>
      <c r="AC58" s="492"/>
      <c r="BB58" s="280" t="n">
        <f aca="false">IF(A58="","",1)</f>
        <v>1</v>
      </c>
    </row>
    <row r="59" customFormat="false" ht="13.2" hidden="false" customHeight="false" outlineLevel="0" collapsed="false">
      <c r="A59" s="493" t="s">
        <v>2687</v>
      </c>
      <c r="B59" s="494" t="n">
        <v>0.07</v>
      </c>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0.0455</v>
      </c>
      <c r="G59" s="479" t="str">
        <f aca="false">IF(A59="","",IF(ISERROR(VLOOKUP($A59,'liste reference'!$A$7:$P$904,13,0)),IF(ISERROR(VLOOKUP($A59,'liste reference'!$B$7:$P$904,12,0)),"    -",VLOOKUP($A59,'liste reference'!$B$7:$P$904,12,0)),VLOOKUP($A59,'liste reference'!$A$7:$P$904,13,0)))</f>
        <v>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Bacillariophyceae</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No</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NEWCOD</v>
      </c>
      <c r="Z59" s="280" t="str">
        <f aca="false">IF(ISERROR(MATCH(A59,'liste reference'!$A$8:$A$904,0)),IF(ISERROR(MATCH(A59,'liste reference'!$B$8:$B$904,0)),"",(MATCH(A59,'liste reference'!$B$8:$B$904,0))),(MATCH(A59,'liste reference'!$A$8:$A$904,0)))</f>
        <v/>
      </c>
      <c r="AA59" s="491"/>
      <c r="AB59" s="492" t="s">
        <v>2691</v>
      </c>
      <c r="AC59" s="492"/>
      <c r="BB59" s="280" t="n">
        <f aca="false">IF(A59="","",1)</f>
        <v>1</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4"/>
      <c r="P60" s="502"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Verdon</v>
      </c>
      <c r="B84" s="529" t="str">
        <f aca="false">C3</f>
        <v>Vinon sur Verdon</v>
      </c>
      <c r="C84" s="530" t="n">
        <f aca="false">A4</f>
        <v>41514</v>
      </c>
      <c r="D84" s="531" t="n">
        <f aca="false">IF(ISERROR(SUM($T$23:$T$82)/SUM($U$23:$U$82)),"",SUM($T$23:$T$82)/SUM($U$23:$U$82))</f>
        <v>9.11538461538462</v>
      </c>
      <c r="E84" s="532" t="n">
        <f aca="false">N13</f>
        <v>37</v>
      </c>
      <c r="F84" s="529" t="n">
        <f aca="false">N14</f>
        <v>33</v>
      </c>
      <c r="G84" s="529" t="n">
        <f aca="false">N15</f>
        <v>9</v>
      </c>
      <c r="H84" s="529" t="n">
        <f aca="false">N16</f>
        <v>10</v>
      </c>
      <c r="I84" s="529" t="n">
        <f aca="false">N17</f>
        <v>3</v>
      </c>
      <c r="J84" s="533" t="n">
        <f aca="false">N8</f>
        <v>6.36363636363636</v>
      </c>
      <c r="K84" s="531" t="n">
        <f aca="false">N9</f>
        <v>5.4983092818318</v>
      </c>
      <c r="L84" s="532" t="n">
        <f aca="false">N10</f>
        <v>0</v>
      </c>
      <c r="M84" s="532" t="n">
        <f aca="false">N11</f>
        <v>18</v>
      </c>
      <c r="N84" s="531" t="n">
        <f aca="false">O8</f>
        <v>1.15151515151515</v>
      </c>
      <c r="O84" s="531" t="n">
        <f aca="false">O9</f>
        <v>0.988454935169702</v>
      </c>
      <c r="P84" s="532" t="n">
        <f aca="false">O10</f>
        <v>0</v>
      </c>
      <c r="Q84" s="532" t="n">
        <f aca="false">O11</f>
        <v>3</v>
      </c>
      <c r="R84" s="532" t="n">
        <f aca="false">F21</f>
        <v>12.04825</v>
      </c>
      <c r="S84" s="532" t="n">
        <f aca="false">K11</f>
        <v>0</v>
      </c>
      <c r="T84" s="532" t="n">
        <f aca="false">K12</f>
        <v>7</v>
      </c>
      <c r="U84" s="532" t="n">
        <f aca="false">K13</f>
        <v>5</v>
      </c>
      <c r="V84" s="534" t="n">
        <f aca="false">K14</f>
        <v>1</v>
      </c>
      <c r="W84" s="535" t="n">
        <f aca="false">K15</f>
        <v>20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2693</v>
      </c>
      <c r="R86" s="280"/>
      <c r="S86" s="488"/>
      <c r="T86" s="280"/>
      <c r="U86" s="280"/>
      <c r="V86" s="280"/>
    </row>
    <row r="87" customFormat="false" ht="13.2" hidden="true" customHeight="false" outlineLevel="0" collapsed="false">
      <c r="P87" s="280"/>
      <c r="Q87" s="280" t="s">
        <v>2694</v>
      </c>
      <c r="R87" s="280"/>
      <c r="S87" s="488" t="n">
        <f aca="false">VLOOKUP(MAX($S$23:$S$82),($S$23:$U$82),1,0)</f>
        <v>32</v>
      </c>
      <c r="T87" s="280"/>
      <c r="U87" s="280"/>
      <c r="V87" s="280"/>
    </row>
    <row r="88" customFormat="false" ht="13.2" hidden="true" customHeight="false" outlineLevel="0" collapsed="false">
      <c r="P88" s="280"/>
      <c r="Q88" s="280" t="s">
        <v>2695</v>
      </c>
      <c r="R88" s="280"/>
      <c r="S88" s="488" t="n">
        <f aca="false">VLOOKUP((S87),($S$23:$U$82),2,0)</f>
        <v>64</v>
      </c>
      <c r="T88" s="280"/>
      <c r="U88" s="280"/>
      <c r="V88" s="280"/>
    </row>
    <row r="89" customFormat="false" ht="13.2" hidden="true" customHeight="false" outlineLevel="0" collapsed="false">
      <c r="Q89" s="280" t="s">
        <v>2696</v>
      </c>
      <c r="R89" s="280"/>
      <c r="S89" s="488" t="n">
        <f aca="false">VLOOKUP((S87),($S$23:$U$82),3,0)</f>
        <v>4</v>
      </c>
      <c r="T89" s="280"/>
    </row>
    <row r="90" customFormat="false" ht="13.2" hidden="false" customHeight="false" outlineLevel="0" collapsed="false">
      <c r="Q90" s="280" t="s">
        <v>2697</v>
      </c>
      <c r="R90" s="280"/>
      <c r="S90" s="538" t="n">
        <f aca="false">IF(ISERROR(SUM($T$23:$T$82)/SUM($U$23:$U$82)),"",(SUM($T$23:$T$82)-S88)/(SUM($U$23:$U$82)-S89))</f>
        <v>8.54166666666667</v>
      </c>
      <c r="T90" s="280"/>
    </row>
    <row r="91" customFormat="false" ht="13.2" hidden="false" customHeight="false" outlineLevel="0" collapsed="false">
      <c r="Q91" s="487" t="s">
        <v>2698</v>
      </c>
      <c r="R91" s="487"/>
      <c r="S91" s="487" t="str">
        <f aca="false">INDEX('liste reference'!$A$8:$A$904,$T$91)</f>
        <v>BATSPX</v>
      </c>
      <c r="T91" s="280" t="n">
        <f aca="false">IF(ISERROR(MATCH($S$93,'liste reference'!$A$8:$A$904,0)),MATCH($S$93,'liste reference'!$B$8:$B$904,0),(MATCH($S$93,'liste reference'!$A$8:$A$904,0)))</f>
        <v>7</v>
      </c>
      <c r="U91" s="527"/>
    </row>
    <row r="92" customFormat="false" ht="13.2" hidden="false" customHeight="false" outlineLevel="0" collapsed="false">
      <c r="Q92" s="280" t="s">
        <v>2699</v>
      </c>
      <c r="R92" s="280"/>
      <c r="S92" s="280" t="n">
        <f aca="false">MATCH(S87,$S$23:$S$82,0)</f>
        <v>1</v>
      </c>
      <c r="T92" s="280"/>
    </row>
    <row r="93" customFormat="false" ht="13.2" hidden="false" customHeight="false" outlineLevel="0" collapsed="false">
      <c r="Q93" s="487" t="s">
        <v>2700</v>
      </c>
      <c r="R93" s="280"/>
      <c r="S93" s="487" t="str">
        <f aca="false">INDEX($A$23:$A$82,$S$92)</f>
        <v>BATSPX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2701</v>
      </c>
      <c r="B2" s="284"/>
      <c r="C2" s="285" t="s">
        <v>2702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2703</v>
      </c>
      <c r="B3" s="284"/>
      <c r="C3" s="283" t="s">
        <v>2704</v>
      </c>
      <c r="D3" s="294"/>
      <c r="E3" s="294"/>
      <c r="F3" s="295"/>
      <c r="G3" s="295"/>
      <c r="H3" s="296"/>
      <c r="I3" s="297"/>
      <c r="J3" s="296"/>
      <c r="K3" s="298" t="s">
        <v>2705</v>
      </c>
      <c r="L3" s="299"/>
      <c r="M3" s="300" t="s">
        <v>2706</v>
      </c>
      <c r="N3" s="301"/>
      <c r="O3" s="301"/>
      <c r="P3" s="302"/>
      <c r="Q3" s="280"/>
      <c r="R3" s="280"/>
      <c r="S3" s="280"/>
      <c r="T3" s="280"/>
      <c r="U3" s="280"/>
      <c r="V3" s="280"/>
      <c r="W3" s="292"/>
      <c r="X3" s="293"/>
    </row>
    <row r="4" customFormat="false" ht="13.8" hidden="false" customHeight="false" outlineLevel="0" collapsed="false">
      <c r="A4" s="303" t="s">
        <v>2707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4"/>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3"/>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4"/>
      <c r="P59" s="502"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4"/>
      <c r="P60" s="502"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2693</v>
      </c>
      <c r="R86" s="280"/>
      <c r="S86" s="488"/>
      <c r="T86" s="280"/>
      <c r="U86" s="280"/>
      <c r="V86" s="280"/>
    </row>
    <row r="87" customFormat="false" ht="13.2" hidden="true" customHeight="false" outlineLevel="0" collapsed="false">
      <c r="P87" s="280"/>
      <c r="Q87" s="280" t="s">
        <v>2694</v>
      </c>
      <c r="R87" s="280"/>
      <c r="S87" s="488" t="n">
        <f aca="false">VLOOKUP(MAX($S$23:$S$82),($S$23:$U$82),1,0)</f>
        <v>0</v>
      </c>
      <c r="T87" s="280"/>
      <c r="U87" s="280"/>
      <c r="V87" s="280"/>
    </row>
    <row r="88" customFormat="false" ht="13.2" hidden="true" customHeight="false" outlineLevel="0" collapsed="false">
      <c r="P88" s="280"/>
      <c r="Q88" s="280" t="s">
        <v>2695</v>
      </c>
      <c r="R88" s="280"/>
      <c r="S88" s="488" t="n">
        <f aca="false">VLOOKUP((S87),($S$23:$U$82),2,0)</f>
        <v>0</v>
      </c>
      <c r="T88" s="280"/>
      <c r="U88" s="280"/>
      <c r="V88" s="280"/>
    </row>
    <row r="89" customFormat="false" ht="13.2" hidden="true" customHeight="false" outlineLevel="0" collapsed="false">
      <c r="Q89" s="280" t="s">
        <v>2696</v>
      </c>
      <c r="R89" s="280"/>
      <c r="S89" s="488" t="n">
        <f aca="false">VLOOKUP((S87),($S$23:$U$82),3,0)</f>
        <v>0</v>
      </c>
      <c r="T89" s="280"/>
    </row>
    <row r="90" customFormat="false" ht="13.2" hidden="false" customHeight="false" outlineLevel="0" collapsed="false">
      <c r="Q90" s="280" t="s">
        <v>2697</v>
      </c>
      <c r="R90" s="280"/>
      <c r="S90" s="538" t="str">
        <f aca="false">IF(ISERROR(SUM($T$23:$T$82)/SUM($U$23:$U$82)),"",(SUM($T$23:$T$82)-S88)/(SUM($U$23:$U$82)-S89))</f>
        <v/>
      </c>
      <c r="T90" s="280"/>
    </row>
    <row r="91" customFormat="false" ht="13.2" hidden="false" customHeight="false" outlineLevel="0" collapsed="false">
      <c r="Q91" s="487" t="s">
        <v>2698</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2699</v>
      </c>
      <c r="R92" s="280"/>
      <c r="S92" s="280" t="n">
        <f aca="false">MATCH(S87,$S$23:$S$82,0)</f>
        <v>1</v>
      </c>
      <c r="T92" s="280"/>
    </row>
    <row r="93" customFormat="false" ht="13.2" hidden="false" customHeight="false" outlineLevel="0" collapsed="false">
      <c r="Q93" s="487" t="s">
        <v>2700</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2708</v>
      </c>
      <c r="B1" s="549"/>
      <c r="C1" s="549"/>
      <c r="D1" s="549"/>
    </row>
    <row r="2" customFormat="false" ht="13.8" hidden="false" customHeight="false" outlineLevel="0" collapsed="false">
      <c r="A2" s="550" t="s">
        <v>2709</v>
      </c>
      <c r="B2" s="551"/>
      <c r="C2" s="552"/>
      <c r="D2" s="552"/>
    </row>
    <row r="3" customFormat="false" ht="14.4" hidden="false" customHeight="false" outlineLevel="0" collapsed="false">
      <c r="A3" s="550" t="s">
        <v>2710</v>
      </c>
      <c r="B3" s="551"/>
      <c r="C3" s="552"/>
      <c r="D3" s="553" t="s">
        <v>2711</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2712</v>
      </c>
      <c r="G15" s="571"/>
      <c r="H15" s="572" t="s">
        <v>2713</v>
      </c>
      <c r="I15" s="571"/>
    </row>
    <row r="16" customFormat="false" ht="14.4" hidden="false" customHeight="false" outlineLevel="0" collapsed="false">
      <c r="A16" s="567" t="s">
        <v>1708</v>
      </c>
      <c r="B16" s="566" t="s">
        <v>1709</v>
      </c>
      <c r="C16" s="568"/>
      <c r="D16" s="569"/>
      <c r="F16" s="573" t="s">
        <v>2714</v>
      </c>
      <c r="G16" s="574"/>
      <c r="H16" s="573" t="s">
        <v>2714</v>
      </c>
      <c r="I16" s="575"/>
    </row>
    <row r="17" customFormat="false" ht="14.4" hidden="false" customHeight="false" outlineLevel="0" collapsed="false">
      <c r="A17" s="565" t="s">
        <v>2127</v>
      </c>
      <c r="B17" s="566" t="s">
        <v>2128</v>
      </c>
      <c r="C17" s="568"/>
      <c r="D17" s="569"/>
      <c r="F17" s="576" t="s">
        <v>2715</v>
      </c>
      <c r="G17" s="577"/>
      <c r="H17" s="576" t="s">
        <v>2715</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2716</v>
      </c>
      <c r="G19" s="577"/>
      <c r="H19" s="576" t="s">
        <v>2716</v>
      </c>
      <c r="I19" s="578"/>
    </row>
    <row r="20" customFormat="false" ht="14.4" hidden="false" customHeight="false" outlineLevel="0" collapsed="false">
      <c r="A20" s="567" t="s">
        <v>1714</v>
      </c>
      <c r="B20" s="566" t="s">
        <v>1715</v>
      </c>
      <c r="C20" s="568"/>
      <c r="D20" s="569"/>
      <c r="F20" s="576" t="s">
        <v>2717</v>
      </c>
      <c r="G20" s="577"/>
      <c r="H20" s="576" t="s">
        <v>2717</v>
      </c>
      <c r="I20" s="578"/>
    </row>
    <row r="21" customFormat="false" ht="14.4" hidden="false" customHeight="false" outlineLevel="0" collapsed="false">
      <c r="A21" s="567" t="s">
        <v>1720</v>
      </c>
      <c r="B21" s="566" t="s">
        <v>1721</v>
      </c>
      <c r="C21" s="568"/>
      <c r="D21" s="569"/>
      <c r="F21" s="576" t="s">
        <v>2718</v>
      </c>
      <c r="G21" s="577"/>
      <c r="H21" s="576" t="s">
        <v>2718</v>
      </c>
      <c r="I21" s="578"/>
    </row>
    <row r="22" customFormat="false" ht="14.4" hidden="false" customHeight="false" outlineLevel="0" collapsed="false">
      <c r="A22" s="565" t="s">
        <v>1726</v>
      </c>
      <c r="B22" s="566" t="s">
        <v>1727</v>
      </c>
      <c r="C22" s="568"/>
      <c r="D22" s="569"/>
      <c r="F22" s="576" t="s">
        <v>2719</v>
      </c>
      <c r="G22" s="577"/>
      <c r="H22" s="576" t="s">
        <v>2719</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2720</v>
      </c>
      <c r="G24" s="577"/>
      <c r="H24" s="576" t="s">
        <v>2720</v>
      </c>
      <c r="I24" s="578"/>
    </row>
    <row r="25" customFormat="false" ht="14.4" hidden="false" customHeight="false" outlineLevel="0" collapsed="false">
      <c r="A25" s="565" t="s">
        <v>2133</v>
      </c>
      <c r="B25" s="566" t="s">
        <v>2134</v>
      </c>
      <c r="C25" s="568"/>
      <c r="D25" s="569"/>
      <c r="F25" s="579" t="s">
        <v>2721</v>
      </c>
      <c r="G25" s="580"/>
      <c r="H25" s="579" t="s">
        <v>2721</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2722</v>
      </c>
    </row>
    <row r="35" customFormat="false" ht="14.4" hidden="false" customHeight="false" outlineLevel="0" collapsed="false">
      <c r="A35" s="565" t="s">
        <v>52</v>
      </c>
      <c r="B35" s="566" t="s">
        <v>53</v>
      </c>
      <c r="C35" s="568"/>
      <c r="D35" s="569"/>
      <c r="F35" s="583" t="s">
        <v>2723</v>
      </c>
    </row>
    <row r="36" customFormat="false" ht="14.4" hidden="false" customHeight="false" outlineLevel="0" collapsed="false">
      <c r="A36" s="567" t="s">
        <v>320</v>
      </c>
      <c r="B36" s="566" t="s">
        <v>321</v>
      </c>
      <c r="C36" s="568"/>
      <c r="D36" s="569"/>
      <c r="F36" s="585" t="s">
        <v>2639</v>
      </c>
    </row>
    <row r="37" customFormat="false" ht="14.4" hidden="false" customHeight="false" outlineLevel="0" collapsed="false">
      <c r="A37" s="565" t="s">
        <v>2142</v>
      </c>
      <c r="B37" s="566" t="s">
        <v>2724</v>
      </c>
      <c r="C37" s="568"/>
      <c r="D37" s="569"/>
      <c r="F37" s="585" t="s">
        <v>2638</v>
      </c>
    </row>
    <row r="38" customFormat="false" ht="14.4" hidden="false" customHeight="false" outlineLevel="0" collapsed="false">
      <c r="A38" s="565" t="s">
        <v>2145</v>
      </c>
      <c r="B38" s="566" t="s">
        <v>2146</v>
      </c>
      <c r="C38" s="568"/>
      <c r="D38" s="569"/>
      <c r="F38" s="585" t="s">
        <v>2725</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2726</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2727</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2728</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2729</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2730</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2731</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2732</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2014-04-07T16:29:55Z</dcterms:modified>
  <cp:revision>0</cp:revision>
  <dc:subject/>
  <dc:title>Feuille d'aide au calcul de l'IBMR</dc:title>
</cp:coreProperties>
</file>