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avalon" sheetId="6" state="visible" r:id="rId8"/>
    <sheet name="modele" sheetId="7" state="hidden" r:id="rId9"/>
    <sheet name="liste codes réf" sheetId="8" state="hidden" r:id="rId10"/>
  </sheets>
  <definedNames>
    <definedName function="false" hidden="false" localSheetId="5" name="_xlnm.Print_Area" vbProcedure="false">Cavalon!$A$1:$O$82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Cavalon!$A$23:$J$84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<sst xmlns="http://schemas.openxmlformats.org/spreadsheetml/2006/main" count="7368" uniqueCount="2732">
  <si>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</si>
  <si>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</si>
  <si>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</si>
  <si>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</si>
  <si>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</si>
  <si>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</si>
  <si>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</si>
  <si>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</si>
  <si>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</si>
  <si>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</si>
  <si>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</si>
  <si>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</si>
  <si>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</si>
  <si>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</si>
  <si>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</si>
  <si>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</si>
  <si>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</si>
  <si>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</si>
  <si>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</si>
  <si>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</si>
  <si>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</si>
  <si>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</si>
  <si>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</si>
  <si>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</si>
  <si>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</si>
  <si>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</si>
  <si>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</si>
  <si>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</si>
  <si>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</si>
  <si>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</si>
  <si>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</si>
  <si>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</si>
  <si>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</si>
  <si>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</si>
  <si>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</si>
  <si>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</si>
  <si>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</si>
  <si>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</si>
  <si>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</si>
  <si>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</si>
  <si>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</si>
  <si>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</si>
  <si>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</si>
  <si>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</si>
  <si>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</si>
  <si>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</si>
  <si>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</si>
  <si>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</si>
  <si>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</si>
  <si>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</si>
  <si>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</si>
  <si>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</si>
  <si>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</si>
  <si>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</si>
  <si>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</si>
  <si>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</si>
  <si>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</si>
  <si>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</si>
  <si>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</si>
  <si>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</si>
  <si>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</si>
  <si>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</si>
  <si>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</si>
  <si>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</si>
  <si>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</si>
  <si>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</si>
  <si>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</si>
  <si>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</si>
  <si>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</si>
  <si>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</si>
  <si>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</si>
  <si>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</si>
  <si>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</si>
  <si>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</si>
  <si>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</si>
  <si>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</si>
  <si>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</si>
  <si>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</si>
  <si>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</si>
  <si>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</si>
  <si>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</si>
  <si>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</si>
  <si>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</si>
  <si>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</si>
  <si>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</si>
  <si>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</si>
  <si>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</si>
  <si>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</si>
  <si>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</si>
  <si>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</si>
  <si>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</si>
  <si>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</si>
  <si>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</si>
  <si>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</si>
  <si>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</si>
  <si>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</si>
  <si>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</si>
  <si>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</si>
  <si>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</si>
  <si>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</si>
  <si>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</si>
  <si>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</si>
  <si>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</si>
  <si>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</si>
  <si>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</si>
  <si>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</si>
  <si>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</si>
  <si>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</si>
  <si>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</si>
  <si>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</si>
  <si>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</si>
  <si>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</si>
  <si>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</si>
  <si>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</si>
  <si>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</si>
  <si>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</si>
  <si>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</si>
  <si>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</si>
  <si>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</si>
  <si>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</si>
  <si>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</si>
  <si>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</si>
  <si>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</si>
  <si>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</si>
  <si>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</si>
  <si>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</si>
  <si>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</si>
  <si>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</si>
  <si>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</si>
  <si>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</si>
  <si>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</si>
  <si>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</si>
  <si>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</si>
  <si>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</si>
  <si>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</si>
  <si>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</si>
  <si>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</si>
  <si>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</si>
  <si>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</si>
  <si>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</si>
  <si>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</si>
  <si>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</si>
  <si>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</si>
  <si>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</si>
  <si>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</si>
  <si>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</si>
  <si>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</si>
  <si>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</si>
  <si>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</si>
  <si>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</si>
  <si>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</si>
  <si>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</si>
  <si>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</si>
  <si>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</si>
  <si>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</si>
  <si>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</si>
  <si>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</si>
  <si>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</si>
  <si>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</si>
  <si>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</si>
  <si>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</si>
  <si>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</si>
  <si>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</si>
  <si>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</si>
  <si>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</si>
  <si>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</si>
  <si>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</si>
  <si>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</si>
  <si>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</si>
  <si>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</si>
  <si>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</si>
  <si>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</si>
  <si>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</si>
  <si>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</si>
  <si>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</si>
  <si>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</si>
  <si>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</si>
  <si>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</si>
  <si>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</si>
  <si>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</si>
  <si>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</si>
  <si>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</si>
  <si>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</si>
  <si>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</si>
  <si>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</si>
  <si>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</si>
  <si>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</si>
  <si>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</si>
  <si>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</si>
  <si>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</si>
  <si>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</si>
  <si>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</si>
  <si>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</si>
  <si>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</si>
  <si>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</si>
  <si>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</si>
  <si>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</si>
  <si>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</si>
  <si>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</si>
  <si>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</si>
  <si>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</si>
  <si>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</si>
  <si>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</si>
  <si>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</si>
  <si>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</si>
  <si>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</si>
  <si>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</si>
  <si>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</si>
  <si>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</si>
  <si>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</si>
  <si>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</si>
  <si>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</si>
  <si>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</si>
  <si>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</si>
  <si>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</si>
  <si>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</si>
  <si>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</si>
  <si>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</si>
  <si>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</si>
  <si>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</si>
  <si>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</si>
  <si>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</si>
  <si>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</si>
  <si>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</si>
  <si>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</si>
  <si>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</si>
  <si>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</si>
  <si>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</si>
  <si>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</si>
  <si>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</si>
  <si>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</si>
  <si>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</si>
  <si>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</si>
  <si>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</si>
  <si>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</si>
  <si>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</si>
  <si>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</si>
  <si>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</si>
  <si>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</si>
  <si>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</si>
  <si>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</si>
  <si>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</si>
  <si>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</si>
  <si>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</si>
  <si>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</si>
  <si>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</si>
  <si>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</si>
  <si>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</si>
  <si>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</si>
  <si>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</si>
  <si>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</si>
  <si>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</si>
  <si>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</si>
  <si>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</si>
  <si>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</si>
  <si>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</si>
  <si>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</si>
  <si>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</si>
  <si>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</si>
  <si>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</si>
  <si>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</si>
  <si>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</si>
  <si>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</si>
  <si>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</si>
  <si>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</si>
  <si>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</si>
  <si>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</si>
  <si>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</si>
  <si>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</si>
  <si>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</si>
  <si>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</si>
  <si>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</si>
  <si>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</si>
  <si>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</si>
  <si>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</si>
  <si>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</si>
  <si>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</si>
  <si>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</si>
  <si>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</si>
  <si>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</si>
  <si>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</si>
  <si>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</si>
  <si>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</si>
  <si>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</si>
  <si>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</si>
  <si>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</si>
  <si>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</si>
  <si>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</si>
  <si>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</si>
  <si>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</si>
  <si>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</si>
  <si>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</si>
  <si>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</si>
  <si>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</si>
  <si>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</si>
  <si>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</si>
  <si>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</si>
  <si>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</si>
  <si>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</si>
  <si>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</si>
  <si>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</si>
  <si>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</si>
  <si>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</si>
  <si>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</si>
  <si>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</si>
  <si>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</si>
  <si>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</si>
  <si>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</si>
  <si>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</si>
  <si>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</si>
  <si>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</si>
  <si>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</si>
  <si>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</si>
  <si>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</si>
  <si>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</si>
  <si>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</si>
  <si>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</si>
  <si>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</si>
  <si>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</si>
  <si>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</si>
  <si>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</si>
  <si>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</si>
  <si>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</si>
  <si>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</si>
  <si>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</si>
  <si>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</si>
  <si>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</si>
  <si>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</si>
  <si>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</si>
  <si>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</si>
  <si>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</si>
  <si>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</si>
  <si>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</si>
  <si>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</si>
  <si>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</si>
  <si>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</si>
  <si>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</si>
  <si>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</si>
  <si>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</si>
  <si>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</si>
  <si>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</si>
  <si>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</si>
  <si>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</si>
  <si>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</si>
  <si>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</si>
  <si>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</si>
  <si>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</si>
  <si>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</si>
  <si>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</si>
  <si>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</si>
  <si>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</si>
  <si>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</si>
  <si>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</si>
  <si>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</si>
  <si>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</si>
  <si>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</si>
  <si>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</si>
  <si>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</si>
  <si>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</si>
  <si>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</si>
  <si>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</si>
  <si>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</si>
  <si>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</si>
  <si>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</si>
  <si>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</si>
  <si>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</si>
  <si>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</si>
  <si>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</si>
  <si>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</si>
  <si>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</si>
  <si>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</si>
  <si>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</si>
  <si>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</si>
  <si>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</si>
  <si>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</si>
  <si>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</si>
  <si>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</si>
  <si>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</si>
  <si>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</si>
  <si>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</si>
  <si>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</si>
  <si>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</si>
  <si>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</si>
  <si>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</si>
  <si>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</si>
  <si>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</si>
  <si>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</si>
  <si>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</si>
  <si>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</si>
  <si>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</si>
  <si>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</si>
  <si>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</si>
  <si>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</si>
  <si>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</si>
  <si>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</si>
  <si>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</si>
  <si>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</si>
  <si>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</si>
  <si>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</si>
  <si>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</si>
  <si>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</si>
  <si>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</si>
  <si>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</si>
  <si>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</si>
  <si>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</si>
  <si>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</si>
  <si>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</si>
  <si>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</si>
  <si>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</si>
  <si>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</si>
  <si>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</si>
  <si>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</si>
  <si>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</si>
  <si>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</si>
  <si>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</si>
  <si>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</si>
  <si>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</si>
  <si>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</si>
  <si>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</si>
  <si>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</si>
  <si>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</si>
  <si>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</si>
  <si>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</si>
  <si>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</si>
  <si>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</si>
  <si>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</si>
  <si>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</si>
  <si>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</si>
  <si>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</si>
  <si>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</si>
  <si>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</si>
  <si>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</si>
  <si>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</si>
  <si>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</si>
  <si>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</si>
  <si>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</si>
  <si>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</si>
  <si>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</si>
  <si>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</si>
  <si>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</si>
  <si>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</si>
  <si>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</si>
  <si>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</si>
  <si>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</si>
  <si>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</si>
  <si>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</si>
  <si>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</si>
  <si>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</si>
  <si>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</si>
  <si>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</si>
  <si>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</si>
  <si>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</si>
  <si>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</si>
  <si>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</si>
  <si>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</si>
  <si>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</si>
  <si>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</si>
  <si>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</si>
  <si>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</si>
  <si>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</si>
  <si>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</si>
  <si>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</si>
  <si>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</si>
  <si>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</si>
  <si>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</si>
  <si>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</si>
  <si>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</si>
  <si>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</si>
  <si>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</si>
  <si>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</si>
  <si>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</si>
  <si>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</si>
  <si>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</si>
  <si>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</si>
  <si>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</si>
  <si>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</si>
  <si>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</si>
  <si>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</si>
  <si>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</si>
  <si>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</si>
  <si>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</si>
  <si>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</si>
  <si>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</si>
  <si>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</si>
  <si>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</si>
  <si>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</si>
  <si>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</si>
  <si>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</si>
  <si>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</si>
  <si>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</si>
  <si>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</si>
  <si>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</si>
  <si>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</si>
  <si>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</si>
  <si>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</si>
  <si>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</si>
  <si>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</si>
  <si>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</si>
  <si>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</si>
  <si>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</si>
  <si>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</si>
  <si>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</si>
  <si>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</si>
  <si>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</si>
  <si>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</si>
  <si>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</si>
  <si>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</si>
  <si>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</si>
  <si>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</si>
  <si>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</si>
  <si>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</si>
  <si>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</si>
  <si>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</si>
  <si>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</si>
  <si>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</si>
  <si>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</si>
  <si>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</si>
  <si>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</si>
  <si>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</si>
  <si>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</si>
  <si>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</si>
  <si>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</si>
  <si>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</si>
  <si>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</si>
  <si>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</si>
  <si>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</si>
  <si>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</si>
  <si>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</si>
  <si>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</si>
  <si>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</si>
  <si>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</si>
  <si>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</si>
  <si>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</si>
  <si>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</si>
  <si>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</si>
  <si>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</si>
  <si>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</si>
  <si>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</si>
  <si>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</si>
  <si>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</si>
  <si>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</si>
  <si>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</si>
  <si>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</si>
  <si>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</si>
  <si>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</si>
  <si>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</si>
  <si>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</si>
  <si>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</si>
  <si>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</si>
  <si>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</si>
  <si>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</si>
  <si>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</si>
  <si>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</si>
  <si>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</si>
  <si>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</si>
  <si>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</si>
  <si>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</si>
  <si>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</si>
  <si>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</si>
  <si>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</si>
  <si>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</si>
  <si>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</si>
  <si>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</si>
  <si>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</si>
  <si>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</si>
  <si>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</si>
  <si>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</si>
  <si>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</si>
  <si>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</si>
  <si>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</si>
  <si>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</si>
  <si>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</si>
  <si>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</si>
  <si>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</si>
  <si>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</si>
  <si>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</si>
  <si>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</si>
  <si>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</si>
  <si>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</si>
  <si>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</si>
  <si>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</si>
  <si>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</si>
  <si>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</si>
  <si>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</si>
  <si>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</si>
  <si>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</si>
  <si>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</si>
  <si>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</si>
  <si>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</si>
  <si>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</si>
  <si>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</si>
  <si>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</si>
  <si>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</si>
  <si>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</si>
  <si>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</si>
  <si>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</si>
  <si>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</si>
  <si>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</si>
  <si>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</si>
  <si>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</si>
  <si>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</si>
  <si>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</si>
  <si>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</si>
  <si>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</si>
  <si>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</si>
  <si>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</si>
  <si>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</si>
  <si>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</si>
  <si>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</si>
  <si>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</si>
  <si>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</si>
  <si>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</si>
  <si>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</si>
  <si>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</si>
  <si>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</si>
  <si>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</si>
  <si>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</si>
  <si>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</si>
  <si>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</si>
  <si>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</si>
  <si>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</si>
  <si>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</si>
  <si>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</si>
  <si>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</si>
  <si>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</si>
  <si>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</si>
  <si>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</si>
  <si>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</si>
  <si>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</si>
  <si>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</si>
  <si>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</si>
  <si>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</si>
  <si>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</si>
  <si>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</si>
  <si>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</si>
  <si>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</si>
  <si>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</si>
  <si>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</si>
  <si>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</si>
  <si>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</si>
  <si>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</si>
  <si>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</si>
  <si>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</si>
  <si>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</si>
  <si>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</si>
  <si>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</si>
  <si>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</si>
  <si>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</si>
  <si>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</si>
  <si>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</si>
  <si>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</si>
  <si>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</si>
  <si>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</si>
  <si>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</si>
  <si>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</si>
  <si>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</si>
  <si>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</si>
  <si>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</si>
  <si>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</si>
  <si>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</si>
  <si>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</si>
  <si>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</si>
  <si>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</si>
  <si>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</si>
  <si>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</si>
  <si>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</si>
  <si>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</si>
  <si>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</si>
  <si>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</si>
  <si>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</si>
  <si>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</si>
  <si>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</si>
  <si>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</si>
  <si>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</si>
  <si>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</si>
  <si>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</si>
  <si>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</si>
  <si>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</si>
  <si>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</si>
  <si>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</si>
  <si>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</si>
  <si>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</si>
  <si>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</si>
  <si>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</si>
  <si>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</si>
  <si>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</si>
  <si>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</si>
  <si>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</si>
  <si>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</si>
  <si>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</si>
  <si>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</si>
  <si>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</si>
  <si>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</si>
  <si>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</si>
  <si>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</si>
  <si>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</si>
  <si>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</si>
  <si>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</si>
  <si>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</si>
  <si>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</si>
  <si>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</si>
  <si>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</si>
  <si>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</si>
  <si>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</si>
  <si>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</si>
  <si>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</si>
  <si>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</si>
  <si>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</si>
  <si>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</si>
  <si>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</si>
  <si>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</si>
  <si>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</si>
  <si>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</si>
  <si>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</si>
  <si>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</si>
  <si>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</si>
  <si>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</si>
  <si>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</si>
  <si>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</si>
  <si>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</si>
  <si>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</si>
  <si>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</si>
  <si>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</si>
  <si>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</si>
  <si>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</si>
  <si>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</si>
  <si>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</si>
  <si>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</si>
  <si>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</si>
  <si>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</si>
  <si>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</si>
  <si>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</si>
  <si>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</si>
  <si>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</si>
  <si>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</si>
  <si>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</si>
  <si>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</si>
  <si>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</si>
  <si>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</si>
  <si>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</si>
  <si>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</si>
  <si>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</si>
  <si>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</si>
  <si>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</si>
  <si>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</si>
  <si>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</si>
  <si>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</si>
  <si>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</si>
  <si>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</si>
  <si>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</si>
  <si>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</si>
  <si>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</si>
  <si>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</si>
  <si>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</si>
  <si>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</si>
  <si>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</si>
  <si>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</si>
  <si>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</si>
  <si>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</si>
  <si>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</si>
  <si>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</si>
  <si>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</si>
  <si>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</si>
  <si>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</si>
  <si>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</si>
  <si>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</si>
  <si>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</si>
  <si>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</si>
  <si>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</si>
  <si>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</si>
  <si>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</si>
  <si>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</si>
  <si>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</si>
  <si>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</si>
  <si>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</si>
  <si>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</si>
  <si>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</si>
  <si>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</si>
  <si>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</si>
  <si>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</si>
  <si>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</si>
  <si>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</si>
  <si>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</si>
  <si>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</si>
  <si>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</si>
  <si>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</si>
  <si>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</si>
  <si>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</si>
  <si>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</si>
  <si>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</si>
  <si>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</si>
  <si>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</si>
  <si>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</si>
  <si>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</si>
  <si>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</si>
  <si>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</si>
  <si>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</si>
  <si>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</si>
  <si>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</si>
  <si>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</si>
  <si>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</si>
  <si>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</si>
  <si>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</si>
  <si>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</si>
  <si>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</si>
  <si>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</si>
  <si>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</si>
  <si>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</si>
  <si>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</si>
  <si>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</si>
  <si>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</si>
  <si>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</si>
  <si>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</si>
  <si>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</si>
  <si>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</si>
  <si>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</si>
  <si>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</si>
  <si>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</si>
  <si>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</si>
  <si>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</si>
  <si>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</si>
  <si>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</si>
  <si>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</si>
  <si>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</si>
  <si>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</si>
  <si>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</si>
  <si>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</si>
  <si>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</si>
  <si>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</si>
  <si>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</si>
  <si>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</si>
  <si>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</si>
  <si>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</si>
  <si>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</si>
  <si>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</si>
  <si>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</si>
  <si>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</si>
  <si>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</si>
  <si>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</si>
  <si>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</si>
  <si>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</si>
  <si>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</si>
  <si>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</si>
  <si>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</si>
  <si>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</si>
  <si>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</si>
  <si>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</si>
  <si>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</si>
  <si>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</si>
  <si>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</si>
  <si>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</si>
  <si>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</si>
  <si>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</si>
  <si>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</si>
  <si>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</si>
  <si>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</si>
  <si>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</si>
  <si>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</si>
  <si>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</si>
  <si>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</si>
  <si>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</si>
  <si>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</si>
  <si>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</si>
  <si>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</si>
  <si>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</si>
  <si>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</si>
  <si>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</si>
  <si>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</si>
  <si>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</si>
  <si>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</si>
  <si>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</si>
  <si>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</si>
  <si>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</si>
  <si>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</si>
  <si>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</si>
  <si>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</si>
  <si>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</si>
  <si>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</si>
  <si>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</si>
  <si>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</si>
  <si>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</si>
  <si>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</si>
  <si>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</si>
  <si>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</si>
  <si>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</si>
  <si>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</si>
  <si>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</si>
  <si>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</si>
  <si>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</si>
  <si>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</si>
  <si>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</si>
  <si>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</si>
  <si>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</si>
  <si>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</si>
  <si>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</si>
  <si>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</si>
  <si>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</si>
  <si>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</si>
  <si>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</si>
  <si>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</si>
  <si>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</si>
  <si>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</si>
  <si>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</si>
  <si>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</si>
  <si>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</si>
  <si>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</si>
  <si>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</si>
  <si>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</si>
  <si>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</si>
  <si>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</si>
  <si>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</si>
  <si>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</si>
  <si>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</si>
  <si>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</si>
  <si>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</si>
  <si>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</si>
  <si>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</si>
  <si>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</si>
  <si>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</si>
  <si>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</si>
  <si>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</si>
  <si>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</si>
  <si>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</si>
  <si>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</si>
  <si>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</si>
  <si>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</si>
  <si>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</si>
  <si>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</si>
  <si>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</si>
  <si>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</si>
  <si>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</si>
  <si>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</si>
  <si>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</si>
  <si>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</si>
  <si>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</si>
  <si>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</si>
  <si>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</si>
  <si>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</si>
  <si>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</si>
  <si>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</si>
  <si>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</si>
  <si>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</si>
  <si>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</si>
  <si>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</si>
  <si>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</si>
  <si>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</si>
  <si>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</si>
  <si>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</si>
  <si>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</si>
  <si>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</si>
  <si>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</si>
  <si>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</si>
  <si>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</si>
  <si>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</si>
  <si>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</si>
  <si>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</si>
  <si>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</si>
  <si>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</si>
  <si>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</si>
  <si>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</si>
  <si>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</si>
  <si>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</si>
  <si>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</si>
  <si>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</si>
  <si>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</si>
  <si>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</si>
  <si>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</si>
  <si>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</si>
  <si>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</si>
  <si>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</si>
  <si>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</si>
  <si>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</si>
  <si>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</si>
  <si>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</si>
  <si>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</si>
  <si>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</si>
  <si>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</si>
  <si>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</si>
  <si>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</si>
  <si>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</si>
  <si>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</si>
  <si>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</si>
  <si>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</si>
  <si>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</si>
  <si>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</si>
  <si>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</si>
  <si>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</si>
  <si>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</si>
  <si>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</si>
  <si>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</si>
  <si>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</si>
  <si>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</si>
  <si>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</si>
  <si>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</si>
  <si>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</si>
  <si>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</si>
  <si>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</si>
  <si>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</si>
  <si>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</si>
  <si>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</si>
  <si>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</si>
  <si>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</si>
  <si>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</si>
  <si>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</si>
  <si>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</si>
  <si>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</si>
  <si>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</si>
  <si>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</si>
  <si>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</si>
  <si>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</si>
  <si>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</si>
  <si>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</si>
  <si>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</si>
  <si>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</si>
  <si>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</si>
  <si>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</si>
  <si>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</si>
  <si>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</si>
  <si>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</si>
  <si>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</si>
  <si>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</si>
  <si>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</si>
  <si>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</si>
  <si>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</si>
  <si>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</si>
  <si>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</si>
  <si>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</si>
  <si>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</si>
  <si>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</si>
  <si>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</si>
  <si>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</si>
  <si>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</si>
  <si>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</si>
  <si>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</si>
  <si>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</si>
  <si>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</si>
  <si>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</si>
  <si>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</si>
  <si>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</si>
  <si>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</si>
  <si>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</si>
  <si>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</si>
  <si>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</si>
  <si>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</si>
  <si>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</si>
  <si>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</si>
  <si>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</si>
  <si>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</si>
  <si>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</si>
  <si>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</si>
  <si>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</si>
  <si>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</si>
  <si>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</si>
  <si>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</si>
  <si>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</si>
  <si>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</si>
  <si>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</si>
  <si>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</si>
  <si>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</si>
  <si>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</si>
  <si>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</si>
  <si>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</si>
  <si>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</si>
  <si>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</si>
  <si>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</si>
  <si>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</si>
  <si>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</si>
  <si>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</si>
  <si>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</si>
  <si>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</si>
  <si>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</si>
  <si>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</si>
  <si>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</si>
  <si>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</si>
  <si>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</si>
  <si>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</si>
  <si>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</si>
  <si>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</si>
  <si>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</si>
  <si>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</si>
  <si>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</si>
  <si>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</si>
  <si>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</si>
  <si>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</si>
  <si>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</si>
  <si>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</si>
  <si>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</si>
  <si>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</si>
  <si>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</si>
  <si>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</si>
  <si>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</si>
  <si>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</si>
  <si>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</si>
  <si>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</si>
  <si>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</si>
  <si>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</si>
  <si>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</si>
  <si>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</si>
  <si>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</si>
  <si>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</si>
  <si>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</si>
  <si>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</si>
  <si>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</si>
  <si>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</si>
  <si>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</si>
  <si>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</si>
  <si>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</si>
  <si>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</si>
  <si>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</si>
  <si>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</si>
  <si>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</si>
  <si>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</si>
  <si>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</si>
  <si>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</si>
  <si>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</si>
  <si>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</si>
  <si>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</si>
  <si>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</si>
  <si>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</si>
  <si>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</si>
  <si>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</si>
  <si>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</si>
  <si>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</si>
  <si>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</si>
  <si>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</si>
  <si>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</si>
  <si>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</si>
  <si>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</si>
  <si>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</si>
  <si>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</si>
  <si>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</si>
  <si>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</si>
  <si>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</si>
  <si>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</si>
  <si>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</si>
  <si>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</si>
  <si>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</si>
  <si>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</si>
  <si>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</si>
  <si>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</si>
  <si>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</si>
  <si>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</si>
  <si>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</si>
  <si>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</si>
  <si>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</si>
  <si>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</si>
  <si>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</si>
  <si>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</si>
  <si>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</si>
  <si>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</si>
  <si>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</si>
  <si>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</si>
  <si>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</si>
  <si>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</si>
  <si>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</si>
  <si>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</si>
  <si>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</si>
  <si>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</si>
  <si>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</si>
  <si>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</si>
  <si>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</si>
  <si>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</si>
  <si>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</si>
  <si>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</si>
  <si>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</si>
  <si>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</si>
  <si>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</si>
  <si>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</si>
  <si>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</si>
  <si>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</si>
  <si>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</si>
  <si>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</si>
  <si>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</si>
  <si>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</si>
  <si>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</si>
  <si>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</si>
  <si>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</si>
  <si>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</si>
  <si>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</si>
  <si>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</si>
  <si>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</si>
  <si>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</si>
  <si>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</si>
  <si>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</si>
  <si>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</si>
  <si>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</si>
  <si>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</si>
  <si>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</si>
  <si>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</si>
  <si>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</si>
  <si>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</si>
  <si>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</si>
  <si>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</si>
  <si>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</si>
  <si>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</si>
  <si>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</si>
  <si>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</si>
  <si>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</si>
  <si>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</si>
  <si>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</si>
  <si>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</si>
  <si>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</si>
  <si>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</si>
  <si>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</si>
  <si>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</si>
  <si>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</si>
  <si>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</si>
  <si>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</si>
  <si>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</si>
  <si>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</si>
  <si>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</si>
  <si>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</si>
  <si>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</si>
  <si>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</si>
  <si>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</si>
  <si>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</si>
  <si>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</si>
  <si>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</si>
  <si>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</si>
  <si>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</si>
  <si>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</si>
  <si>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</si>
  <si>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</si>
  <si>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</si>
  <si>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</si>
  <si>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</si>
  <si>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</si>
  <si>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</si>
  <si>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</si>
  <si>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</si>
  <si>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</si>
  <si>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</si>
  <si>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</si>
  <si>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</si>
  <si>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</si>
  <si>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</si>
  <si>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</si>
  <si>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</si>
  <si>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</si>
  <si>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</si>
  <si>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</si>
  <si>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</si>
  <si>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</si>
  <si>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</si>
  <si>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</si>
  <si>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</si>
  <si>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</si>
  <si>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</si>
  <si>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</si>
  <si>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</si>
  <si>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</si>
  <si>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</si>
  <si>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</si>
  <si>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</si>
  <si>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</si>
  <si>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</si>
  <si>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</si>
  <si>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</si>
  <si>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</si>
  <si>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</si>
  <si>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</si>
  <si>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</si>
  <si>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</si>
  <si>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</si>
  <si>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</si>
  <si>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</si>
  <si>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</si>
  <si>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</si>
  <si>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</si>
  <si>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</si>
  <si>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</si>
  <si>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</si>
  <si>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</si>
  <si>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</si>
  <si>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</si>
  <si>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</si>
  <si>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</si>
  <si>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</si>
  <si>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</si>
  <si>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</si>
  <si>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</si>
  <si>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</si>
  <si>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</si>
  <si>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</si>
  <si>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</si>
  <si>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</si>
  <si>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</si>
  <si>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</si>
  <si>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</si>
  <si>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</si>
  <si>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</si>
  <si>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</si>
  <si>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</si>
  <si>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</si>
  <si>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</si>
  <si>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</si>
  <si>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</si>
  <si>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</si>
  <si>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</si>
  <si>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</si>
  <si>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</si>
  <si>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</si>
  <si>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</si>
  <si>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</si>
  <si>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</si>
  <si>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</si>
  <si>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</si>
  <si>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</si>
  <si>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</si>
  <si>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</si>
  <si>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</si>
  <si>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</si>
  <si>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</si>
  <si>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</si>
  <si>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</si>
  <si>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</si>
  <si>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</si>
  <si>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</si>
  <si>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</si>
  <si>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</si>
  <si>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</si>
  <si>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</si>
  <si>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</si>
  <si>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</si>
  <si>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</si>
  <si>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</si>
  <si>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</si>
  <si>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</si>
  <si>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</si>
  <si>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</si>
  <si>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</si>
  <si>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</si>
  <si>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</si>
  <si>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</si>
  <si>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</si>
  <si>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</si>
  <si>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</si>
  <si>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</si>
  <si>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</si>
  <si>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</si>
  <si>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</si>
  <si>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</si>
  <si>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</si>
  <si>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</si>
  <si>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</si>
  <si>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</si>
  <si>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</si>
  <si>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</si>
  <si>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</si>
  <si>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</si>
  <si>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</si>
  <si>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</si>
  <si>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</si>
  <si>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</si>
  <si>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</si>
  <si>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</si>
  <si>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</si>
  <si>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</si>
  <si>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</si>
  <si>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</si>
  <si>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</si>
  <si>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</si>
  <si>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</si>
  <si>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</si>
  <si>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</si>
  <si>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</si>
  <si>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</si>
  <si>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</si>
  <si>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</si>
  <si>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</si>
  <si>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</si>
  <si>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</si>
  <si>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</si>
  <si>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</si>
  <si>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</si>
  <si>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</si>
  <si>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</si>
  <si>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</si>
  <si>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</si>
  <si>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</si>
  <si>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</si>
  <si>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</si>
  <si>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</si>
  <si>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</si>
  <si>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</si>
  <si>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</si>
  <si>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</si>
  <si>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</si>
  <si>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</si>
  <si>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</si>
  <si>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</si>
  <si>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</si>
  <si>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</si>
  <si>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</si>
  <si>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</si>
  <si>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</si>
  <si>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</si>
  <si>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</si>
  <si>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</si>
  <si>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</si>
  <si>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</si>
  <si>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</si>
  <si>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</si>
  <si>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</si>
  <si>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</si>
  <si>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</si>
  <si>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</si>
  <si>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</si>
  <si>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</si>
  <si>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</si>
  <si>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</si>
  <si>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</si>
  <si>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</si>
  <si>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</si>
  <si>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</si>
  <si>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</si>
  <si>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</si>
  <si>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</si>
  <si>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</si>
  <si>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</si>
  <si>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</si>
  <si>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</si>
  <si>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</si>
  <si>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</si>
  <si>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</si>
  <si>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</si>
  <si>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</si>
  <si>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</si>
  <si>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</si>
  <si>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</si>
  <si>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</si>
  <si>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</si>
  <si>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</si>
  <si>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</si>
  <si>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</si>
  <si>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</si>
  <si>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</si>
  <si>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</si>
  <si>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</si>
  <si>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</si>
  <si>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</si>
  <si>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</si>
  <si>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</si>
  <si>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</si>
  <si>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</si>
  <si>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</si>
  <si>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</si>
  <si>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</si>
  <si>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</si>
  <si>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</si>
  <si>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</si>
  <si>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</si>
  <si>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</si>
  <si>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</si>
  <si>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</si>
  <si>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</si>
  <si>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</si>
  <si>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</si>
  <si>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</si>
  <si>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</si>
  <si>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</si>
  <si>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</si>
  <si>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</si>
  <si>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</si>
  <si>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</si>
  <si>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</si>
  <si>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</si>
  <si>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</si>
  <si>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</si>
  <si>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</si>
  <si>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</si>
  <si>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</si>
  <si>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</si>
  <si>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</si>
  <si>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</si>
  <si>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</si>
  <si>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</si>
  <si>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</si>
  <si>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</si>
  <si>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</si>
  <si>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</si>
  <si>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</si>
  <si>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</si>
  <si>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</si>
  <si>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</si>
  <si>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</si>
  <si>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</si>
  <si>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</si>
  <si>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</si>
  <si>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</si>
  <si>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</si>
  <si>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</si>
  <si>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</si>
  <si>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</si>
  <si>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</si>
  <si>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</si>
  <si>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</si>
  <si>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</si>
  <si>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</si>
  <si>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</si>
  <si>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</si>
  <si>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</si>
  <si>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</si>
  <si>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</si>
  <si>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</si>
  <si>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</si>
  <si>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</si>
  <si>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</si>
  <si>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</si>
  <si>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</si>
  <si>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</si>
  <si>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</si>
  <si>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</si>
  <si>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</si>
  <si>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</si>
  <si>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</si>
  <si>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</si>
  <si>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</si>
  <si>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</si>
  <si>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</si>
  <si>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</si>
  <si>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</si>
  <si>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</si>
  <si>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</si>
  <si>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</si>
  <si>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</si>
  <si>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</si>
  <si>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</si>
  <si>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</si>
  <si>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</si>
  <si>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</si>
  <si>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</si>
  <si>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</si>
  <si>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</si>
  <si>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</si>
  <si>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</si>
  <si>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</si>
  <si>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</si>
  <si>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</si>
  <si>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</si>
  <si>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</si>
  <si>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</si>
  <si>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</si>
  <si>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</si>
  <si>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</si>
  <si>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</si>
  <si>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</si>
  <si>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</si>
  <si>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</si>
  <si>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</si>
  <si>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</si>
  <si>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</si>
  <si>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</si>
  <si>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</si>
  <si>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</si>
  <si>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</si>
  <si>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</si>
  <si>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</si>
  <si>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</si>
  <si>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</si>
  <si>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</si>
  <si>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</si>
  <si>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</si>
  <si>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</si>
  <si>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</si>
  <si>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</si>
  <si>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</si>
  <si>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</si>
  <si>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</si>
  <si>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</si>
  <si>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</si>
  <si>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</si>
  <si>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</si>
  <si>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</si>
  <si>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</si>
  <si>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</si>
  <si>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</si>
  <si>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</si>
  <si>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</si>
  <si>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</si>
  <si>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</si>
  <si>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</si>
  <si>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</si>
  <si>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</si>
  <si>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</si>
  <si>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</si>
  <si>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</si>
  <si>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</si>
  <si>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</si>
  <si>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</si>
  <si>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</si>
  <si>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</si>
  <si>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</si>
  <si>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</si>
  <si>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</si>
  <si>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</si>
  <si>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</si>
  <si>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</si>
  <si>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</si>
  <si>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</si>
  <si>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</si>
  <si>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</si>
  <si>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</si>
  <si>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</si>
  <si>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</si>
  <si>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</si>
  <si>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</si>
  <si>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</si>
  <si>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</si>
  <si>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</si>
  <si>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</si>
  <si>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</si>
  <si>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</si>
  <si>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</si>
  <si>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</si>
  <si>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</si>
  <si>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</si>
  <si>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</si>
  <si>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</si>
  <si>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</si>
  <si>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</si>
  <si>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</si>
  <si>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</si>
  <si>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</si>
  <si>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</si>
  <si>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</si>
  <si>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</si>
  <si>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</si>
  <si>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</si>
  <si>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</si>
  <si>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</si>
  <si>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</si>
  <si>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</si>
  <si>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</si>
  <si>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</si>
  <si>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</si>
  <si>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</si>
  <si>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</si>
  <si>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</si>
  <si>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</si>
  <si>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</si>
  <si>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</si>
  <si>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</si>
  <si>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</si>
  <si>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</si>
  <si>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</si>
  <si>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</si>
  <si>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</si>
  <si>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</si>
  <si>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</si>
  <si>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</si>
  <si>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</si>
  <si>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</si>
  <si>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</si>
  <si>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</si>
  <si>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</si>
  <si>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</si>
  <si>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</si>
  <si>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</si>
  <si>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</si>
  <si>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</si>
  <si>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</si>
  <si>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</si>
  <si>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</si>
  <si>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</si>
  <si>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</si>
  <si>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</si>
  <si>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</si>
  <si>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</si>
  <si>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</si>
  <si>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</si>
  <si>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</si>
  <si>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</si>
  <si>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</si>
  <si>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</si>
  <si>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</si>
  <si>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</si>
  <si>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</si>
  <si>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</si>
  <si>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</si>
  <si>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</si>
  <si>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</si>
  <si>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</si>
  <si>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</si>
  <si>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</si>
  <si>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</si>
  <si>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</si>
  <si>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</si>
  <si>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</si>
  <si>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</si>
  <si>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</si>
  <si>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</si>
  <si>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</si>
  <si>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</si>
  <si>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</si>
  <si>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</si>
  <si>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</si>
  <si>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</si>
  <si>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</si>
  <si>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</si>
  <si>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</si>
  <si>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</si>
  <si>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</si>
  <si>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</si>
  <si>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</si>
  <si>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</si>
  <si>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</si>
  <si>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</si>
  <si>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</si>
  <si>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</si>
  <si>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</si>
  <si>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</si>
  <si>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</si>
  <si>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</si>
  <si>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</si>
  <si>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</si>
  <si>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</si>
  <si>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</si>
  <si>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</si>
  <si>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</si>
  <si>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</si>
  <si>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</si>
  <si>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</si>
  <si>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</si>
  <si>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</si>
  <si>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</si>
  <si>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</si>
  <si>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</si>
  <si>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</si>
  <si>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</si>
  <si>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</si>
  <si>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</si>
  <si>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</si>
  <si>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</si>
  <si>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</si>
  <si>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</si>
  <si>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</si>
  <si>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</si>
  <si>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</si>
  <si>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</si>
  <si>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</si>
  <si>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</si>
  <si>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</si>
  <si>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</si>
  <si>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</si>
  <si>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</si>
  <si>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</si>
  <si>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</si>
  <si>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</si>
  <si>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</si>
  <si>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</si>
  <si>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</si>
  <si>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</si>
  <si>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</si>
  <si>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</si>
  <si>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</si>
  <si>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</si>
  <si>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</si>
  <si>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</si>
  <si>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</si>
  <si>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</si>
  <si>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</si>
  <si>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</si>
  <si>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</si>
  <si>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</si>
  <si>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</si>
  <si>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</si>
  <si>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</si>
  <si>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</si>
  <si>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</si>
  <si>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</si>
  <si>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</si>
  <si>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</si>
  <si>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</si>
  <si>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</si>
  <si>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</si>
  <si>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</si>
  <si>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</si>
  <si>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</si>
  <si>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</si>
  <si>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</si>
  <si>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</si>
  <si>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</si>
  <si>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</si>
  <si>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</si>
  <si>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</si>
  <si>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</si>
  <si>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</si>
  <si>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</si>
  <si>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</si>
  <si>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</si>
  <si>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</si>
  <si>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</si>
  <si>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</si>
  <si>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</si>
  <si>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</si>
  <si>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</si>
  <si>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</si>
  <si>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</si>
  <si>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</si>
  <si>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</si>
  <si>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</si>
  <si>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</si>
  <si>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</si>
  <si>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</si>
  <si>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</si>
  <si>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</si>
  <si>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</si>
  <si>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</si>
  <si>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</si>
  <si>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</si>
  <si>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</si>
  <si>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</si>
  <si>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</si>
  <si>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</si>
  <si>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</si>
  <si>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</si>
  <si>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</si>
  <si>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</si>
  <si>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</si>
  <si>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</si>
  <si>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</si>
  <si>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</si>
  <si>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</si>
  <si>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</si>
  <si>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</si>
  <si>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</si>
  <si>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</si>
  <si>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</si>
  <si>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</si>
  <si>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</si>
  <si>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</si>
  <si>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</si>
  <si>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</si>
  <si>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</si>
  <si>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</si>
  <si>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</si>
  <si>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</si>
  <si>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</si>
  <si>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</si>
  <si>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</si>
  <si>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</si>
  <si>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</si>
  <si>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</si>
  <si>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</si>
  <si>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</si>
  <si>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</si>
  <si>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</si>
  <si>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</si>
  <si>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</si>
  <si>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</si>
  <si>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</si>
  <si>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</si>
  <si>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</si>
  <si>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</si>
  <si>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</si>
  <si>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</si>
  <si>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</si>
  <si>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</si>
  <si>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</si>
  <si>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</si>
  <si>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</si>
  <si>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</si>
  <si>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</si>
  <si>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</si>
  <si>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</si>
  <si>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</si>
  <si>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</si>
  <si>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</si>
  <si>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</si>
  <si>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</si>
  <si>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</si>
  <si>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</si>
  <si>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</si>
  <si>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</si>
  <si>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</si>
  <si>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</si>
  <si>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</si>
  <si>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</si>
  <si>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</si>
  <si>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</si>
  <si>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</si>
  <si>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</si>
  <si>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</si>
  <si>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</si>
  <si>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</si>
  <si>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</si>
  <si>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</si>
  <si>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</si>
  <si>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</si>
  <si>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</si>
  <si>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</si>
  <si>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</si>
  <si>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</si>
  <si>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</si>
  <si>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</si>
  <si>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</si>
  <si>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</si>
  <si>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</si>
  <si>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</si>
  <si>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</si>
  <si>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</si>
  <si>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</si>
  <si>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</si>
  <si>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</si>
  <si>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</si>
  <si>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</si>
  <si>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</si>
  <si>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</si>
  <si>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</si>
  <si>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</si>
  <si>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</si>
  <si>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</si>
  <si>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</si>
  <si>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</si>
  <si>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</si>
  <si>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</si>
  <si>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</si>
  <si>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</si>
  <si>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</si>
  <si>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</si>
  <si>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</si>
  <si>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</si>
  <si>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</si>
  <si>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</si>
  <si>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</si>
  <si>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</si>
  <si>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</si>
  <si>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</si>
  <si>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</si>
  <si>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</si>
  <si>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</si>
  <si>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</si>
  <si>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</si>
  <si>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</si>
  <si>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</si>
  <si>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</si>
  <si>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</si>
  <si>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</si>
  <si>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</si>
  <si>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</si>
  <si>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</si>
  <si>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</si>
  <si>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</si>
  <si>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</si>
  <si>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</si>
  <si>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</si>
  <si>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</si>
  <si>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</si>
  <si>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</si>
  <si>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</si>
  <si>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</si>
  <si>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</si>
  <si>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</si>
  <si>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</si>
  <si>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</si>
  <si>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</si>
  <si>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</si>
  <si>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</si>
  <si>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</si>
  <si>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</si>
  <si>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</si>
  <si>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</si>
  <si>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</si>
  <si>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</si>
  <si>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</si>
  <si>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</si>
  <si>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</si>
  <si>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</si>
  <si>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</si>
  <si>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</si>
  <si>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</si>
  <si>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</si>
  <si>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</si>
  <si>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</si>
  <si>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</si>
  <si>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</si>
  <si>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</si>
  <si>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</si>
  <si>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</si>
  <si>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</si>
  <si>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</si>
  <si>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</si>
  <si>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</si>
  <si>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</si>
  <si>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</si>
  <si>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</si>
  <si>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</si>
  <si>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</si>
  <si>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</si>
  <si>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</si>
  <si>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</si>
  <si>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</si>
  <si>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</si>
  <si>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</si>
  <si>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</si>
  <si>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</si>
  <si>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</si>
  <si>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</si>
  <si>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</si>
  <si>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</si>
  <si>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</si>
  <si>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</si>
  <si>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</si>
  <si>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</si>
  <si>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</si>
  <si>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</si>
  <si>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</si>
  <si>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</si>
  <si>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</si>
  <si>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</si>
  <si>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</si>
  <si>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</si>
  <si>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</si>
  <si>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</si>
  <si>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</si>
  <si>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</si>
  <si>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</si>
  <si>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</si>
  <si>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</si>
  <si>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</si>
  <si>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</si>
  <si>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</si>
  <si>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</si>
  <si>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</si>
  <si>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</si>
  <si>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</si>
  <si>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</si>
  <si>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</si>
  <si>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</si>
  <si>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</si>
  <si>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</si>
  <si>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</si>
  <si>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</si>
  <si>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</si>
  <si>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</si>
  <si>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</si>
  <si>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</si>
  <si>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</si>
  <si>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</si>
  <si>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</si>
  <si>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</si>
  <si>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</si>
  <si>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</si>
  <si>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</si>
  <si>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</si>
  <si>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</si>
  <si>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</si>
  <si>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</si>
  <si>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</si>
  <si>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</si>
  <si>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</si>
  <si>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</si>
  <si>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</si>
  <si>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</si>
  <si>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</si>
  <si>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</si>
  <si>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</si>
  <si>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</si>
  <si>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</si>
  <si>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</si>
  <si>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</si>
  <si>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</si>
  <si>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</si>
  <si>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</si>
  <si>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</si>
  <si>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</si>
  <si>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</si>
  <si>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</si>
  <si>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</si>
  <si>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</si>
  <si>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</si>
  <si>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</si>
  <si>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</si>
  <si>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</si>
  <si>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</si>
  <si>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</si>
  <si>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</si>
  <si>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</si>
  <si>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</si>
  <si>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</si>
  <si>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</si>
  <si>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</si>
  <si>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</si>
  <si>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</si>
  <si>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</si>
  <si>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</si>
  <si>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</si>
  <si>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</si>
  <si>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</si>
  <si>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</si>
  <si>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</si>
  <si>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</si>
  <si>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</si>
  <si>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</si>
  <si>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</si>
  <si>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</si>
  <si>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</si>
  <si>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</si>
  <si>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</si>
  <si>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</si>
  <si>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</si>
  <si>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</si>
  <si>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</si>
  <si>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</si>
  <si>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</si>
  <si>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</si>
  <si>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</si>
  <si>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</si>
  <si>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</si>
  <si>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</si>
  <si>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</si>
  <si>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</si>
  <si>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</si>
  <si>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</si>
  <si>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</si>
  <si>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</si>
  <si>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</si>
  <si>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</si>
  <si>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</si>
  <si>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</si>
  <si>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</si>
  <si>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</si>
  <si>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</si>
  <si>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</si>
  <si>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</si>
  <si>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</si>
  <si>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</si>
  <si>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</si>
  <si>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</si>
  <si>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</si>
  <si>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</si>
  <si>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</si>
  <si>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</si>
  <si>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</si>
  <si>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</si>
  <si>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</si>
  <si>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</si>
  <si>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</si>
  <si>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</si>
  <si>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</si>
  <si>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</si>
  <si>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</si>
  <si>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</si>
  <si>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</si>
  <si>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</si>
  <si>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</si>
  <si>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</si>
  <si>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</si>
  <si>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</si>
  <si>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</si>
  <si>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</si>
  <si>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</si>
  <si>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</si>
  <si>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</si>
  <si>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</si>
  <si>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</si>
  <si>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</si>
  <si>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</si>
  <si>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</si>
  <si>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</si>
  <si>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</si>
  <si>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</si>
  <si>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</si>
  <si>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</si>
  <si>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</si>
  <si>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</si>
  <si>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</si>
  <si>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</si>
  <si>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</si>
  <si>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</si>
  <si>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</si>
  <si>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</si>
  <si>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</si>
  <si>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</si>
  <si>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</si>
  <si>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</si>
  <si>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</si>
  <si>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</si>
  <si>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</si>
  <si>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</si>
  <si>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</si>
  <si>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</si>
  <si>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</si>
  <si>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</si>
  <si>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</si>
  <si>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</si>
  <si>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</si>
  <si>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</si>
  <si>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</si>
  <si>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</si>
  <si>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</si>
  <si>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</si>
  <si>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</si>
  <si>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</si>
  <si>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</si>
  <si>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</si>
  <si>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</si>
  <si>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</si>
  <si>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</si>
  <si>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</si>
  <si>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</si>
  <si>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</si>
  <si>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</si>
  <si>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</si>
  <si>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</si>
  <si>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</si>
  <si>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</si>
  <si>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</si>
  <si>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</si>
  <si>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</si>
  <si>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</si>
  <si>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</si>
  <si>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</si>
  <si>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</si>
  <si>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</si>
  <si>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</si>
  <si>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</si>
  <si>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</si>
  <si>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</si>
  <si>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</si>
  <si>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</si>
  <si>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</si>
  <si>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</si>
  <si>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</si>
  <si>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</si>
  <si>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</si>
  <si>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</si>
  <si>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</si>
  <si>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</si>
  <si>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</si>
  <si>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</si>
  <si>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</si>
  <si>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</si>
  <si>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</si>
  <si>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</si>
  <si>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</si>
  <si>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</si>
  <si>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</si>
  <si>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</si>
  <si>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</si>
  <si>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</si>
  <si>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</si>
  <si>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</si>
  <si>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</si>
  <si>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</si>
  <si>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</si>
  <si>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</si>
  <si>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</si>
  <si>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</si>
  <si>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</si>
  <si>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</si>
  <si>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</si>
  <si>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</si>
  <si>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</si>
  <si>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</si>
  <si>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</si>
  <si>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</si>
  <si>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</si>
  <si>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</si>
  <si>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</si>
  <si>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</si>
  <si>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</si>
  <si>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</si>
  <si>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</si>
  <si>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</si>
  <si>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</si>
  <si>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</si>
  <si>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</si>
  <si>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</si>
  <si>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</si>
  <si>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</si>
  <si>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</si>
  <si>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</si>
  <si>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</si>
  <si>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</si>
  <si>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</si>
  <si>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</si>
  <si>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</si>
  <si>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</si>
  <si>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</si>
  <si>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</si>
  <si>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</si>
  <si>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</si>
  <si>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</si>
  <si>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</si>
  <si>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</si>
  <si>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</si>
  <si>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</si>
  <si>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</si>
  <si>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</si>
  <si>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</si>
  <si>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</si>
  <si>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</si>
  <si>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</si>
  <si>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</si>
  <si>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</si>
  <si>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</si>
  <si>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</si>
  <si>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</si>
  <si>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</si>
  <si>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</si>
  <si>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</si>
  <si>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</si>
  <si>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</si>
  <si>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</si>
  <si>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</si>
  <si>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</si>
  <si>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</si>
  <si>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</si>
  <si>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</si>
  <si>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</si>
  <si>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</si>
  <si>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</si>
  <si>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</si>
  <si>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</si>
  <si>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</si>
  <si>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</si>
  <si>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</si>
  <si>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</si>
  <si>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</si>
  <si>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</si>
  <si>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</si>
  <si>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</si>
  <si>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</si>
  <si>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</si>
  <si>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</si>
  <si>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</si>
  <si>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</si>
  <si>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</si>
  <si>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</si>
  <si>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</si>
  <si>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</si>
  <si>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</si>
  <si>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</si>
  <si>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</si>
  <si>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</si>
  <si>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</si>
  <si>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</si>
  <si>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</si>
  <si>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</si>
  <si>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</si>
  <si>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</si>
  <si>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</si>
  <si>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</si>
  <si>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</si>
  <si>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</si>
  <si>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</si>
  <si>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</si>
  <si>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</si>
  <si>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</si>
  <si>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</si>
  <si>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</si>
  <si>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</si>
  <si>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</si>
  <si>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</si>
  <si>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</si>
  <si>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</si>
  <si>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</si>
  <si>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</si>
  <si>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</si>
  <si>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</si>
  <si>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</si>
  <si>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</si>
  <si>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</si>
  <si>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</si>
  <si>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</si>
  <si>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</si>
  <si>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</si>
  <si>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</si>
  <si>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</si>
  <si>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</si>
  <si>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</si>
  <si>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</si>
  <si>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</si>
  <si>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</si>
  <si>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</si>
  <si>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</si>
  <si>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</si>
  <si>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</si>
  <si>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</si>
  <si>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</si>
  <si>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</si>
  <si>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</si>
  <si>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</si>
  <si>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</si>
  <si>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</si>
  <si>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</si>
  <si>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</si>
  <si>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</si>
  <si>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</si>
  <si>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</si>
  <si>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</si>
  <si>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</si>
  <si>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</si>
  <si>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</si>
  <si>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</si>
  <si>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</si>
  <si>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</si>
  <si>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</si>
  <si>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</si>
  <si>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</si>
  <si>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</si>
  <si>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</si>
  <si>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</si>
  <si>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</si>
  <si>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</si>
  <si>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</si>
  <si>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</si>
  <si>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</si>
  <si>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</si>
  <si>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</si>
  <si>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</si>
  <si>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</si>
  <si>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</si>
  <si>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</si>
  <si>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</si>
  <si>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</si>
  <si>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</si>
  <si>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</si>
  <si>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</si>
  <si>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</si>
  <si>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</si>
  <si>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</si>
  <si>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</si>
  <si>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</si>
  <si>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</si>
  <si>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</si>
  <si>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</si>
  <si>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</si>
  <si>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</si>
  <si>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</si>
  <si>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</si>
  <si>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</si>
  <si>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</si>
  <si>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</si>
  <si>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</si>
  <si>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</si>
  <si>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</si>
  <si>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</si>
  <si>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</si>
  <si>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</si>
  <si>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</si>
  <si>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</si>
  <si>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</si>
  <si>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</si>
  <si>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</si>
  <si>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</si>
  <si>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</si>
  <si>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</si>
  <si>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</si>
  <si>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</si>
  <si>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</si>
  <si>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</si>
  <si>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</si>
  <si>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</si>
  <si>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</si>
  <si>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</si>
  <si>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</si>
  <si>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</si>
  <si>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</si>
  <si>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</si>
  <si>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</si>
  <si>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</si>
  <si>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</si>
  <si>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</si>
  <si>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</si>
  <si>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</si>
  <si>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</si>
  <si>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</si>
  <si>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</si>
  <si>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</si>
  <si>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</si>
  <si>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</si>
  <si>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</si>
  <si>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</si>
  <si>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</si>
  <si>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</si>
  <si>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</si>
  <si>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</si>
  <si>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</si>
  <si>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</si>
  <si>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</si>
  <si>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</si>
  <si>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</si>
  <si>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</si>
  <si>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</si>
  <si>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</si>
  <si>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</si>
  <si>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</si>
  <si>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</si>
  <si>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</si>
  <si>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</si>
  <si>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</si>
  <si>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</si>
  <si>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</si>
  <si>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</si>
  <si>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</si>
  <si>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</si>
  <si>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</si>
  <si>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</si>
  <si>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</si>
  <si>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</si>
  <si>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</si>
  <si>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</si>
  <si>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</si>
  <si>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</si>
  <si>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</si>
  <si>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</si>
  <si>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</si>
  <si>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</si>
  <si>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</si>
  <si>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</si>
  <si>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</si>
  <si>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</si>
  <si>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</si>
  <si>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</si>
  <si>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</si>
  <si>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</si>
  <si>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</si>
  <si>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</si>
  <si>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</si>
  <si>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</si>
  <si>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</si>
  <si>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</si>
  <si>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</si>
  <si>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</si>
  <si>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</si>
  <si>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</si>
  <si>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</si>
  <si>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</si>
  <si>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</si>
  <si>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</si>
  <si>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</si>
  <si>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</si>
  <si>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</si>
  <si>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</si>
  <si>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</si>
  <si>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</si>
  <si>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</si>
  <si>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</si>
  <si>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</si>
  <si>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</si>
  <si>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</si>
  <si>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</si>
  <si>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</si>
  <si>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</si>
  <si>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</si>
  <si>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</si>
  <si>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</si>
  <si>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</si>
  <si>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</si>
  <si>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</si>
  <si>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</si>
  <si>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</si>
  <si>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</si>
  <si>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</si>
  <si>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</si>
  <si>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</si>
  <si>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</si>
  <si>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</si>
  <si>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</si>
  <si>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</si>
  <si>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</si>
  <si>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</si>
  <si>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</si>
  <si>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</si>
  <si>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</si>
  <si>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</si>
  <si>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</si>
  <si>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</si>
  <si>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</si>
  <si>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</si>
  <si>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</si>
  <si>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</si>
  <si>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</si>
  <si>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</si>
  <si>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</si>
  <si>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</si>
  <si>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</si>
  <si>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</si>
  <si>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</si>
  <si>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</si>
  <si>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</si>
  <si>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</si>
  <si>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</si>
  <si>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</si>
  <si>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</si>
  <si>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</si>
  <si>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</si>
  <si>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</si>
  <si>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</si>
  <si>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</si>
  <si>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</si>
  <si>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</si>
  <si>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</si>
  <si>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</si>
  <si>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</si>
  <si>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</si>
  <si>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</si>
  <si>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</si>
  <si>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</si>
  <si>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</si>
  <si>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</si>
  <si>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</si>
  <si>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</si>
  <si>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</si>
  <si>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</si>
  <si>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</si>
  <si>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</si>
  <si>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</si>
  <si>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</si>
  <si>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</si>
  <si>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COULON</t>
  </si>
  <si>
    <t xml:space="preserve">Céreste</t>
  </si>
  <si>
    <t xml:space="preserve">06163900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</si>
  <si>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</si>
  <si>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</si>
  <si>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</si>
  <si>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</si>
  <si>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</si>
  <si>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</si>
  <si>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</si>
  <si>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</si>
  <si>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</si>
  <si>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</si>
  <si>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</si>
  <si>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</si>
  <si>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</si>
  <si>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</si>
  <si>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</si>
  <si>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</si>
  <si>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</si>
  <si>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</si>
  <si>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</si>
  <si>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</si>
  <si>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</si>
  <si>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</si>
  <si>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</si>
  <si>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</si>
  <si>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</si>
  <si>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</si>
  <si>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</si>
  <si>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</si>
  <si>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</si>
  <si>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</si>
  <si>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</si>
  <si>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</si>
  <si>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</si>
  <si>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</si>
  <si>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</si>
  <si>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</si>
  <si>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</si>
  <si>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</si>
  <si>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</si>
  <si>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</si>
  <si>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</si>
  <si>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</si>
  <si>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</si>
  <si>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</si>
  <si>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</si>
  <si>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</si>
  <si>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</si>
  <si>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</si>
  <si>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</si>
  <si>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</si>
  <si>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(1,3075 %)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</si>
  <si>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</si>
  <si>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</si>
  <si>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</si>
  <si>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</si>
  <si>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</si>
  <si>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</si>
  <si>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</si>
  <si>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</si>
  <si>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</si>
  <si>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</si>
  <si>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</si>
  <si>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</si>
  <si>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</si>
  <si>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</si>
  <si>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</si>
  <si>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</si>
  <si>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</si>
  <si>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</si>
  <si>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</si>
  <si>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</si>
  <si>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Tussilago farfara</t>
  </si>
  <si>
    <t xml:space="preserve">Festuca arundinacea</t>
  </si>
  <si>
    <t xml:space="preserve">Didymodon spadiceus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</si>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</sst>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41432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v>
      </c>
      <c r="M5" s="323"/>
      <c r="N5" s="324" t="s">
        <v>130</v>
      </c>
      <c r="O5" s="325" t="n">
        <v>10.8260869565217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6.85714285714286</v>
      </c>
      <c r="O8" s="354" t="n">
        <f aca="false">IF(ISERROR(AVERAGE(J23:J82)),"      -",AVERAGE(J23:J82))</f>
        <v>1.04761904761905</v>
      </c>
      <c r="P8" s="355"/>
      <c r="Q8" s="280"/>
      <c r="R8" s="280"/>
      <c r="S8" s="280"/>
      <c r="T8" s="280"/>
      <c r="U8" s="280"/>
      <c r="V8" s="280"/>
      <c r="W8" s="292"/>
      <c r="X8" s="293"/>
    </row>
    <row r="9" customFormat="false" ht="13.5" hidden="false" customHeight="false" outlineLevel="0" collapsed="false">
      <c r="A9" s="313" t="s">
        <v>2635</v>
      </c>
      <c r="B9" s="356" t="n">
        <v>1.2</v>
      </c>
      <c r="C9" s="357" t="n">
        <v>1.7</v>
      </c>
      <c r="D9" s="358"/>
      <c r="E9" s="358"/>
      <c r="F9" s="359" t="n">
        <f aca="false">($B9*$B$7+$C9*$C$7)/100</f>
        <v>1.325</v>
      </c>
      <c r="G9" s="360"/>
      <c r="H9" s="361"/>
      <c r="I9" s="362"/>
      <c r="J9" s="363"/>
      <c r="K9" s="343"/>
      <c r="L9" s="364"/>
      <c r="M9" s="353" t="s">
        <v>2636</v>
      </c>
      <c r="N9" s="354" t="n">
        <f aca="false">IF(ISERROR(STDEVP(I23:I82)),"     -",STDEVP(I23:I82))</f>
        <v>5.60854547212779</v>
      </c>
      <c r="O9" s="354" t="n">
        <f aca="false">IF(ISERROR(STDEVP(J23:J82)),"      -",STDEVP(J23:J82))</f>
        <v>0.8984743935292</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24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21</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7</v>
      </c>
      <c r="L15" s="386"/>
      <c r="M15" s="407" t="s">
        <v>2654</v>
      </c>
      <c r="N15" s="408" t="n">
        <f aca="false">COUNTIF(J23:J82,"=1")</f>
        <v>7</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1.185</v>
      </c>
      <c r="C20" s="436" t="n">
        <f aca="false">SUM(C23:C82)</f>
        <v>1.675</v>
      </c>
      <c r="D20" s="437"/>
      <c r="E20" s="438" t="s">
        <v>2660</v>
      </c>
      <c r="F20" s="439" t="n">
        <f aca="false">($B20*$B$7+$C20*$C$7)/100</f>
        <v>1.3075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0.88875</v>
      </c>
      <c r="C21" s="449" t="n">
        <f aca="false">C20*C7/100</f>
        <v>0.41875</v>
      </c>
      <c r="D21" s="381" t="str">
        <f aca="false">IF(F21=0,"",IF((ABS(F21-F19))&gt;(0.2*F21),CONCATENATE(" rec. par taxa (",F21," %) supérieur à 20 % !"),""))</f>
        <v> rec. par taxa (1,3075 %) supérieur à 20 % !</v>
      </c>
      <c r="E21" s="450" t="str">
        <f aca="false">IF(F21=0,"",IF((ABS(F21-F19))&gt;(0.2*F21),CONCATENATE("ATTENTION : écart entre rec. par grp (",F19," %) ","et",""),""))</f>
        <v>ATTENTION : écart entre rec. par grp (0 %) et</v>
      </c>
      <c r="F21" s="451" t="n">
        <f aca="false">B21+C21</f>
        <v>1.3075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0.6</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0.45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0.45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c r="C24" s="495" t="n">
        <v>1</v>
      </c>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0.25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0.25</v>
      </c>
      <c r="R24" s="487" t="n">
        <f aca="false">IF(OR(ISTEXT(H24),Q24=0),"",IF(Q24&lt;0.1,1,IF(Q24&lt;1,2,IF(Q24&lt;10,3,IF(Q24&lt;50,4,IF(Q24&gt;=50,5,""))))))</f>
        <v>2</v>
      </c>
      <c r="S24" s="487" t="n">
        <f aca="false">IF(ISERROR(R24*I24),0,R24*I24)</f>
        <v>24</v>
      </c>
      <c r="T24" s="487" t="n">
        <f aca="false">IF(ISERROR(R24*I24*J24),0,R24*I24*J24)</f>
        <v>48</v>
      </c>
      <c r="U24" s="499" t="n">
        <f aca="false">IF(ISERROR(R24*J24),0,R24*J24)</f>
        <v>4</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160</v>
      </c>
      <c r="B25" s="494"/>
      <c r="C25" s="495" t="n">
        <v>0.25</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0.0625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0.0625</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175</v>
      </c>
      <c r="B26" s="494" t="n">
        <v>0.15</v>
      </c>
      <c r="C26" s="495" t="n">
        <v>0.1</v>
      </c>
      <c r="D26" s="477" t="str">
        <f aca="false">IF(ISERROR(VLOOKUP($A26,'liste reference'!$A$7:$D$904,2,0)),IF(ISERROR(VLOOKUP($A26,'liste reference'!$B$7:$D$904,1,0)),"",VLOOKUP($A26,'liste reference'!$B$7:$D$904,1,0)),VLOOKUP($A26,'liste reference'!$A$7:$D$904,2,0))</f>
        <v>Microspora sp.</v>
      </c>
      <c r="E26" s="496" t="e">
        <f aca="false">IF(D26="",0,VLOOKUP(D26,D$22:D25,1,0))</f>
        <v>#N/A</v>
      </c>
      <c r="F26" s="497" t="n">
        <f aca="false">($B26*$B$7+$C26*$C$7)/100</f>
        <v>0.1375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Microspora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1132</v>
      </c>
      <c r="Q26" s="486" t="n">
        <f aca="false">IF(ISTEXT(H26),"",(B26*$B$7/100)+(C26*$C$7/100))</f>
        <v>0.1375</v>
      </c>
      <c r="R26" s="487" t="n">
        <f aca="false">IF(OR(ISTEXT(H26),Q26=0),"",IF(Q26&lt;0.1,1,IF(Q26&lt;1,2,IF(Q26&lt;10,3,IF(Q26&lt;50,4,IF(Q26&gt;=50,5,""))))))</f>
        <v>2</v>
      </c>
      <c r="S26" s="487" t="n">
        <f aca="false">IF(ISERROR(R26*I26),0,R26*I26)</f>
        <v>24</v>
      </c>
      <c r="T26" s="487" t="n">
        <f aca="false">IF(ISERROR(R26*I26*J26),0,R26*I26*J26)</f>
        <v>48</v>
      </c>
      <c r="U26" s="499" t="n">
        <f aca="false">IF(ISERROR(R26*J26),0,R26*J26)</f>
        <v>4</v>
      </c>
      <c r="V26" s="488" t="str">
        <f aca="false">IF(AND(A26="",F26=0),"",IF(F26=0,"Il manque le(s) % de rec. !",""))</f>
        <v/>
      </c>
      <c r="W26" s="489"/>
      <c r="Y26" s="490" t="str">
        <f aca="false">IF(A26="new.cod","NEWCOD",IF(AND((Z26=""),ISTEXT(A26)),A26,IF(Z26="","",INDEX('liste reference'!$A$8:$A$904,Z26))))</f>
        <v>MICSPX</v>
      </c>
      <c r="Z26" s="280" t="n">
        <f aca="false">IF(ISERROR(MATCH(A26,'liste reference'!$A$8:$A$904,0)),IF(ISERROR(MATCH(A26,'liste reference'!$B$8:$B$904,0)),"",(MATCH(A26,'liste reference'!$B$8:$B$904,0))),(MATCH(A26,'liste reference'!$A$8:$A$904,0)))</f>
        <v>41</v>
      </c>
      <c r="AA26" s="491"/>
      <c r="AB26" s="492"/>
      <c r="AC26" s="492"/>
      <c r="BB26" s="280" t="n">
        <f aca="false">IF(A26="","",1)</f>
        <v>1</v>
      </c>
    </row>
    <row r="27" customFormat="false" ht="12.75" hidden="false" customHeight="false" outlineLevel="0" collapsed="false">
      <c r="A27" s="493" t="s">
        <v>228</v>
      </c>
      <c r="B27" s="494" t="n">
        <v>0.005</v>
      </c>
      <c r="C27" s="495" t="n">
        <v>0.005</v>
      </c>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t="s">
        <v>2685</v>
      </c>
      <c r="AB27" s="492"/>
      <c r="AC27" s="492"/>
      <c r="BB27" s="280" t="n">
        <f aca="false">IF(A27="","",1)</f>
        <v>1</v>
      </c>
    </row>
    <row r="28" customFormat="false" ht="12.75" hidden="false" customHeight="false" outlineLevel="0" collapsed="false">
      <c r="A28" s="493" t="s">
        <v>258</v>
      </c>
      <c r="B28" s="494"/>
      <c r="C28" s="495" t="n">
        <v>0.05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0.0125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0.0125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293</v>
      </c>
      <c r="B29" s="494" t="n">
        <v>0.01</v>
      </c>
      <c r="C29" s="495"/>
      <c r="D29" s="477" t="str">
        <f aca="false">IF(ISERROR(VLOOKUP($A29,'liste reference'!$A$7:$D$904,2,0)),IF(ISERROR(VLOOKUP($A29,'liste reference'!$B$7:$D$904,1,0)),"",VLOOKUP($A29,'liste reference'!$B$7:$D$904,1,0)),VLOOKUP($A29,'liste reference'!$A$7:$D$904,2,0))</f>
        <v>Tolypothrix sp.</v>
      </c>
      <c r="E29" s="496" t="e">
        <f aca="false">IF(D29="",0,VLOOKUP(D29,D$22:D28,1,0))</f>
        <v>#N/A</v>
      </c>
      <c r="F29" s="497" t="n">
        <f aca="false">($B29*$B$7+$C29*$C$7)/100</f>
        <v>0.0075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Tolypothrix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6304</v>
      </c>
      <c r="Q29" s="486" t="n">
        <f aca="false">IF(ISTEXT(H29),"",(B29*$B$7/100)+(C29*$C$7/100))</f>
        <v>0.0075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500"/>
      <c r="Y29" s="490" t="str">
        <f aca="false">IF(A29="new.cod","NEWCOD",IF(AND((Z29=""),ISTEXT(A29)),A29,IF(Z29="","",INDEX('liste reference'!$A$8:$A$904,Z29))))</f>
        <v>TOYSPX</v>
      </c>
      <c r="Z29" s="280" t="n">
        <f aca="false">IF(ISERROR(MATCH(A29,'liste reference'!$A$8:$A$904,0)),IF(ISERROR(MATCH(A29,'liste reference'!$B$8:$B$904,0)),"",(MATCH(A29,'liste reference'!$B$8:$B$904,0))),(MATCH(A29,'liste reference'!$A$8:$A$904,0)))</f>
        <v>79</v>
      </c>
      <c r="AA29" s="491"/>
      <c r="AB29" s="492"/>
      <c r="AC29" s="492"/>
      <c r="BB29" s="280" t="n">
        <f aca="false">IF(A29="","",1)</f>
        <v>1</v>
      </c>
    </row>
    <row r="30" customFormat="false" ht="12.75" hidden="false" customHeight="false" outlineLevel="0" collapsed="false">
      <c r="A30" s="493" t="s">
        <v>301</v>
      </c>
      <c r="B30" s="494" t="n">
        <v>0.005</v>
      </c>
      <c r="C30" s="495"/>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0.00375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0.00375</v>
      </c>
      <c r="R30" s="487" t="n">
        <f aca="false">IF(OR(ISTEXT(H30),Q30=0),"",IF(Q30&lt;0.1,1,IF(Q30&lt;1,2,IF(Q30&lt;10,3,IF(Q30&lt;50,4,IF(Q30&gt;=50,5,""))))))</f>
        <v>1</v>
      </c>
      <c r="S30" s="487" t="n">
        <f aca="false">IF(ISERROR(R30*I30),0,R30*I30)</f>
        <v>4</v>
      </c>
      <c r="T30" s="487" t="n">
        <f aca="false">IF(ISERROR(R30*I30*J30),0,R30*I30*J30)</f>
        <v>4</v>
      </c>
      <c r="U30" s="499" t="n">
        <f aca="false">IF(ISERROR(R30*J30),0,R30*J30)</f>
        <v>1</v>
      </c>
      <c r="V30" s="488" t="str">
        <f aca="false">IF(AND(A30="",F30=0),"",IF(F30=0,"Il manque le(s) % de rec. !",""))</f>
        <v/>
      </c>
      <c r="W30" s="489"/>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512</v>
      </c>
      <c r="B31" s="494" t="n">
        <v>0.005</v>
      </c>
      <c r="C31" s="495"/>
      <c r="D31" s="477" t="str">
        <f aca="false">IF(ISERROR(VLOOKUP($A31,'liste reference'!$A$7:$D$904,2,0)),IF(ISERROR(VLOOKUP($A31,'liste reference'!$B$7:$D$904,1,0)),"",VLOOKUP($A31,'liste reference'!$B$7:$D$904,1,0)),VLOOKUP($A31,'liste reference'!$A$7:$D$904,2,0))</f>
        <v>Pellia endiviifolia</v>
      </c>
      <c r="E31" s="496" t="e">
        <f aca="false">IF(D31="",0,VLOOKUP(D31,D$22:D30,1,0))</f>
        <v>#N/A</v>
      </c>
      <c r="F31" s="497" t="n">
        <f aca="false">($B31*$B$7+$C31*$C$7)/100</f>
        <v>0.00375</v>
      </c>
      <c r="G31" s="479" t="str">
        <f aca="false">IF(A31="","",IF(ISERROR(VLOOKUP($A31,'liste reference'!$A$7:$P$904,13,0)),IF(ISERROR(VLOOKUP($A31,'liste reference'!$B$7:$P$904,12,0)),"    -",VLOOKUP($A31,'liste reference'!$B$7:$P$904,12,0)),VLOOKUP($A31,'liste reference'!$A$7:$P$904,13,0)))</f>
        <v>BRh</v>
      </c>
      <c r="H31" s="480" t="n">
        <f aca="false">IF(A31="","x",IF(ISERROR(VLOOKUP($A31,'liste reference'!$A$8:$P$904,14,0)),IF(ISERROR(VLOOKUP($A31,'liste reference'!$B$8:$P$904,13,0)),"x",VLOOKUP($A31,'liste reference'!$B$8:$P$904,13,0)),VLOOKUP($A31,'liste reference'!$A$8:$P$904,14,0)))</f>
        <v>4</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1197</v>
      </c>
      <c r="Q31" s="486" t="n">
        <f aca="false">IF(ISTEXT(H31),"",(B31*$B$7/100)+(C31*$C$7/100))</f>
        <v>0.00375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PELEND</v>
      </c>
      <c r="Z31" s="280" t="n">
        <f aca="false">IF(ISERROR(MATCH(A31,'liste reference'!$A$8:$A$904,0)),IF(ISERROR(MATCH(A31,'liste reference'!$B$8:$B$904,0)),"",(MATCH(A31,'liste reference'!$B$8:$B$904,0))),(MATCH(A31,'liste reference'!$A$8:$A$904,0)))</f>
        <v>120</v>
      </c>
      <c r="AA31" s="491"/>
      <c r="AB31" s="492"/>
      <c r="AC31" s="492"/>
      <c r="BB31" s="280" t="n">
        <f aca="false">IF(A31="","",1)</f>
        <v>1</v>
      </c>
    </row>
    <row r="32" customFormat="false" ht="12.75" hidden="false" customHeight="false" outlineLevel="0" collapsed="false">
      <c r="A32" s="493" t="s">
        <v>645</v>
      </c>
      <c r="B32" s="494" t="n">
        <v>0.02</v>
      </c>
      <c r="C32" s="495" t="n">
        <v>0.02</v>
      </c>
      <c r="D32" s="477" t="str">
        <f aca="false">IF(ISERROR(VLOOKUP($A32,'liste reference'!$A$7:$D$904,2,0)),IF(ISERROR(VLOOKUP($A32,'liste reference'!$B$7:$D$904,1,0)),"",VLOOKUP($A32,'liste reference'!$B$7:$D$904,1,0)),VLOOKUP($A32,'liste reference'!$A$7:$D$904,2,0))</f>
        <v>Amblystegium riparium</v>
      </c>
      <c r="E32" s="496" t="e">
        <f aca="false">IF(D32="",0,VLOOKUP(D32,D$22:D31,1,0))</f>
        <v>#N/A</v>
      </c>
      <c r="F32" s="497" t="n">
        <f aca="false">($B32*$B$7+$C32*$C$7)/100</f>
        <v>0.02</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Amblystegium riparium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1219</v>
      </c>
      <c r="Q32" s="486" t="n">
        <f aca="false">IF(ISTEXT(H32),"",(B32*$B$7/100)+(C32*$C$7/100))</f>
        <v>0.02</v>
      </c>
      <c r="R32" s="487" t="n">
        <f aca="false">IF(OR(ISTEXT(H32),Q32=0),"",IF(Q32&lt;0.1,1,IF(Q32&lt;1,2,IF(Q32&lt;10,3,IF(Q32&lt;50,4,IF(Q32&gt;=50,5,""))))))</f>
        <v>1</v>
      </c>
      <c r="S32" s="487" t="n">
        <f aca="false">IF(ISERROR(R32*I32),0,R32*I32)</f>
        <v>5</v>
      </c>
      <c r="T32" s="487" t="n">
        <f aca="false">IF(ISERROR(R32*I32*J32),0,R32*I32*J32)</f>
        <v>10</v>
      </c>
      <c r="U32" s="499" t="n">
        <f aca="false">IF(ISERROR(R32*J32),0,R32*J32)</f>
        <v>2</v>
      </c>
      <c r="V32" s="488" t="str">
        <f aca="false">IF(AND(A32="",F32=0),"",IF(F32=0,"Il manque le(s) % de rec. !",""))</f>
        <v/>
      </c>
      <c r="W32" s="489"/>
      <c r="Y32" s="490" t="str">
        <f aca="false">IF(A32="new.cod","NEWCOD",IF(AND((Z32=""),ISTEXT(A32)),A32,IF(Z32="","",INDEX('liste reference'!$A$8:$A$904,Z32))))</f>
        <v>AMBRIP</v>
      </c>
      <c r="Z32" s="280" t="n">
        <f aca="false">IF(ISERROR(MATCH(A32,'liste reference'!$A$8:$A$904,0)),IF(ISERROR(MATCH(A32,'liste reference'!$B$8:$B$904,0)),"",(MATCH(A32,'liste reference'!$B$8:$B$904,0))),(MATCH(A32,'liste reference'!$A$8:$A$904,0)))</f>
        <v>148</v>
      </c>
      <c r="AA32" s="491"/>
      <c r="AB32" s="492"/>
      <c r="AC32" s="492"/>
      <c r="BB32" s="280" t="n">
        <f aca="false">IF(A32="","",1)</f>
        <v>1</v>
      </c>
    </row>
    <row r="33" customFormat="false" ht="12.75" hidden="false" customHeight="false" outlineLevel="0" collapsed="false">
      <c r="A33" s="493" t="s">
        <v>764</v>
      </c>
      <c r="B33" s="494" t="n">
        <v>0.05</v>
      </c>
      <c r="C33" s="495" t="n">
        <v>0.02</v>
      </c>
      <c r="D33" s="477" t="str">
        <f aca="false">IF(ISERROR(VLOOKUP($A33,'liste reference'!$A$7:$D$904,2,0)),IF(ISERROR(VLOOKUP($A33,'liste reference'!$B$7:$D$904,1,0)),"",VLOOKUP($A33,'liste reference'!$B$7:$D$904,1,0)),VLOOKUP($A33,'liste reference'!$A$7:$D$904,2,0))</f>
        <v>Cratoneuron filicinum</v>
      </c>
      <c r="E33" s="496" t="e">
        <f aca="false">IF(D33="",0,VLOOKUP(D33,D$22:D32,1,0))</f>
        <v>#N/A</v>
      </c>
      <c r="F33" s="497" t="n">
        <f aca="false">($B33*$B$7+$C33*$C$7)/100</f>
        <v>0.0425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18</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Cratoneuron filicinum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1233</v>
      </c>
      <c r="Q33" s="486" t="n">
        <f aca="false">IF(ISTEXT(H33),"",(B33*$B$7/100)+(C33*$C$7/100))</f>
        <v>0.0425</v>
      </c>
      <c r="R33" s="487" t="n">
        <f aca="false">IF(OR(ISTEXT(H33),Q33=0),"",IF(Q33&lt;0.1,1,IF(Q33&lt;1,2,IF(Q33&lt;10,3,IF(Q33&lt;50,4,IF(Q33&gt;=50,5,""))))))</f>
        <v>1</v>
      </c>
      <c r="S33" s="487" t="n">
        <f aca="false">IF(ISERROR(R33*I33),0,R33*I33)</f>
        <v>18</v>
      </c>
      <c r="T33" s="487" t="n">
        <f aca="false">IF(ISERROR(R33*I33*J33),0,R33*I33*J33)</f>
        <v>54</v>
      </c>
      <c r="U33" s="499" t="n">
        <f aca="false">IF(ISERROR(R33*J33),0,R33*J33)</f>
        <v>3</v>
      </c>
      <c r="V33" s="488" t="str">
        <f aca="false">IF(AND(A33="",F33=0),"",IF(F33=0,"Il manque le(s) % de rec. !",""))</f>
        <v/>
      </c>
      <c r="W33" s="489"/>
      <c r="Y33" s="490" t="str">
        <f aca="false">IF(A33="new.cod","NEWCOD",IF(AND((Z33=""),ISTEXT(A33)),A33,IF(Z33="","",INDEX('liste reference'!$A$8:$A$904,Z33))))</f>
        <v>CRAFIL</v>
      </c>
      <c r="Z33" s="280" t="n">
        <f aca="false">IF(ISERROR(MATCH(A33,'liste reference'!$A$8:$A$904,0)),IF(ISERROR(MATCH(A33,'liste reference'!$B$8:$B$904,0)),"",(MATCH(A33,'liste reference'!$B$8:$B$904,0))),(MATCH(A33,'liste reference'!$A$8:$A$904,0)))</f>
        <v>178</v>
      </c>
      <c r="AA33" s="491"/>
      <c r="AB33" s="492"/>
      <c r="AC33" s="492"/>
      <c r="BB33" s="280" t="n">
        <f aca="false">IF(A33="","",1)</f>
        <v>1</v>
      </c>
    </row>
    <row r="34" customFormat="false" ht="12.75" hidden="false" customHeight="false" outlineLevel="0" collapsed="false">
      <c r="A34" s="493" t="s">
        <v>852</v>
      </c>
      <c r="B34" s="494" t="n">
        <v>0.05</v>
      </c>
      <c r="C34" s="495" t="n">
        <v>0.02</v>
      </c>
      <c r="D34" s="477" t="str">
        <f aca="false">IF(ISERROR(VLOOKUP($A34,'liste reference'!$A$7:$D$904,2,0)),IF(ISERROR(VLOOKUP($A34,'liste reference'!$B$7:$D$904,1,0)),"",VLOOKUP($A34,'liste reference'!$B$7:$D$904,1,0)),VLOOKUP($A34,'liste reference'!$A$7:$D$904,2,0))</f>
        <v>Fissidens crassipes</v>
      </c>
      <c r="E34" s="496" t="e">
        <f aca="false">IF(D34="",0,VLOOKUP(D34,D$22:D33,1,0))</f>
        <v>#N/A</v>
      </c>
      <c r="F34" s="501" t="n">
        <f aca="false">($B34*$B$7+$C34*$C$7)/100</f>
        <v>0.0425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1294</v>
      </c>
      <c r="Q34" s="486" t="n">
        <f aca="false">IF(ISTEXT(H34),"",(B34*$B$7/100)+(C34*$C$7/100))</f>
        <v>0.0425</v>
      </c>
      <c r="R34" s="487" t="n">
        <f aca="false">IF(OR(ISTEXT(H34),Q34=0),"",IF(Q34&lt;0.1,1,IF(Q34&lt;1,2,IF(Q34&lt;10,3,IF(Q34&lt;50,4,IF(Q34&gt;=50,5,""))))))</f>
        <v>1</v>
      </c>
      <c r="S34" s="487" t="n">
        <f aca="false">IF(ISERROR(R34*I34),0,R34*I34)</f>
        <v>12</v>
      </c>
      <c r="T34" s="487" t="n">
        <f aca="false">IF(ISERROR(R34*I34*J34),0,R34*I34*J34)</f>
        <v>24</v>
      </c>
      <c r="U34" s="499" t="n">
        <f aca="false">IF(ISERROR(R34*J34),0,R34*J34)</f>
        <v>2</v>
      </c>
      <c r="V34" s="488" t="str">
        <f aca="false">IF(AND(A34="",F34=0),"",IF(F34=0,"Il manque le(s) % de rec. !",""))</f>
        <v/>
      </c>
      <c r="W34" s="489"/>
      <c r="X34" s="489"/>
      <c r="Y34" s="490" t="str">
        <f aca="false">IF(A34="new.cod","NEWCOD",IF(AND((Z34=""),ISTEXT(A34)),A34,IF(Z34="","",INDEX('liste reference'!$A$8:$A$904,Z34))))</f>
        <v>FISCRA</v>
      </c>
      <c r="Z34" s="280" t="n">
        <f aca="false">IF(ISERROR(MATCH(A34,'liste reference'!$A$8:$A$904,0)),IF(ISERROR(MATCH(A34,'liste reference'!$B$8:$B$904,0)),"",(MATCH(A34,'liste reference'!$B$8:$B$904,0))),(MATCH(A34,'liste reference'!$A$8:$A$904,0)))</f>
        <v>197</v>
      </c>
      <c r="AA34" s="491"/>
      <c r="AB34" s="492"/>
      <c r="AC34" s="492"/>
      <c r="BB34" s="280" t="n">
        <f aca="false">IF(A34="","",1)</f>
        <v>1</v>
      </c>
    </row>
    <row r="35" customFormat="false" ht="12.75" hidden="false" customHeight="false" outlineLevel="0" collapsed="false">
      <c r="A35" s="493" t="s">
        <v>1054</v>
      </c>
      <c r="B35" s="494" t="n">
        <v>0.005</v>
      </c>
      <c r="C35" s="495"/>
      <c r="D35" s="477" t="str">
        <f aca="false">IF(ISERROR(VLOOKUP($A35,'liste reference'!$A$7:$D$904,2,0)),IF(ISERROR(VLOOKUP($A35,'liste reference'!$B$7:$D$904,1,0)),"",VLOOKUP($A35,'liste reference'!$B$7:$D$904,1,0)),VLOOKUP($A35,'liste reference'!$A$7:$D$904,2,0))</f>
        <v>Rhynchostegium riparioides</v>
      </c>
      <c r="E35" s="496" t="e">
        <f aca="false">IF(D35="",0,VLOOKUP(D35,D$22:D34,1,0))</f>
        <v>#N/A</v>
      </c>
      <c r="F35" s="501" t="n">
        <f aca="false">($B35*$B$7+$C35*$C$7)/100</f>
        <v>0.00375</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1268</v>
      </c>
      <c r="Q35" s="486" t="n">
        <f aca="false">IF(ISTEXT(H35),"",(B35*$B$7/100)+(C35*$C$7/100))</f>
        <v>0.00375</v>
      </c>
      <c r="R35" s="487" t="n">
        <f aca="false">IF(OR(ISTEXT(H35),Q35=0),"",IF(Q35&lt;0.1,1,IF(Q35&lt;1,2,IF(Q35&lt;10,3,IF(Q35&lt;50,4,IF(Q35&gt;=50,5,""))))))</f>
        <v>1</v>
      </c>
      <c r="S35" s="487" t="n">
        <f aca="false">IF(ISERROR(R35*I35),0,R35*I35)</f>
        <v>12</v>
      </c>
      <c r="T35" s="487" t="n">
        <f aca="false">IF(ISERROR(R35*I35*J35),0,R35*I35*J35)</f>
        <v>12</v>
      </c>
      <c r="U35" s="499" t="n">
        <f aca="false">IF(ISERROR(R35*J35),0,R35*J35)</f>
        <v>1</v>
      </c>
      <c r="V35" s="488" t="str">
        <f aca="false">IF(AND(A35="",F35=0),"",IF(F35=0,"Il manque le(s) % de rec. !",""))</f>
        <v/>
      </c>
      <c r="W35" s="489"/>
      <c r="Y35" s="490" t="str">
        <f aca="false">IF(A35="new.cod","NEWCOD",IF(AND((Z35=""),ISTEXT(A35)),A35,IF(Z35="","",INDEX('liste reference'!$A$8:$A$904,Z35))))</f>
        <v>RHYRIP</v>
      </c>
      <c r="Z35" s="280" t="n">
        <f aca="false">IF(ISERROR(MATCH(A35,'liste reference'!$A$8:$A$904,0)),IF(ISERROR(MATCH(A35,'liste reference'!$B$8:$B$904,0)),"",(MATCH(A35,'liste reference'!$B$8:$B$904,0))),(MATCH(A35,'liste reference'!$A$8:$A$904,0)))</f>
        <v>252</v>
      </c>
      <c r="AA35" s="491"/>
      <c r="AB35" s="492"/>
      <c r="AC35" s="492"/>
      <c r="BB35" s="280" t="n">
        <f aca="false">IF(A35="","",1)</f>
        <v>1</v>
      </c>
    </row>
    <row r="36" customFormat="false" ht="12.75" hidden="false" customHeight="false" outlineLevel="0" collapsed="false">
      <c r="A36" s="493" t="s">
        <v>1153</v>
      </c>
      <c r="B36" s="494" t="n">
        <v>0.005</v>
      </c>
      <c r="C36" s="495" t="n">
        <v>0.005</v>
      </c>
      <c r="D36" s="477" t="str">
        <f aca="false">IF(ISERROR(VLOOKUP($A36,'liste reference'!$A$7:$D$904,2,0)),IF(ISERROR(VLOOKUP($A36,'liste reference'!$B$7:$D$904,1,0)),"",VLOOKUP($A36,'liste reference'!$B$7:$D$904,1,0)),VLOOKUP($A36,'liste reference'!$A$7:$D$904,2,0))</f>
        <v>Equisetum arvense</v>
      </c>
      <c r="E36" s="496" t="e">
        <f aca="false">IF(D36="",0,VLOOKUP(D36,D$22:D35,1,0))</f>
        <v>#N/A</v>
      </c>
      <c r="F36" s="501" t="n">
        <f aca="false">($B36*$B$7+$C36*$C$7)/100</f>
        <v>0.005</v>
      </c>
      <c r="G36" s="479" t="str">
        <f aca="false">IF(A36="","",IF(ISERROR(VLOOKUP($A36,'liste reference'!$A$7:$P$904,13,0)),IF(ISERROR(VLOOKUP($A36,'liste reference'!$B$7:$P$904,12,0)),"    -",VLOOKUP($A36,'liste reference'!$B$7:$P$904,12,0)),VLOOKUP($A36,'liste reference'!$A$7:$P$904,13,0)))</f>
        <v>PTE</v>
      </c>
      <c r="H36" s="480" t="n">
        <f aca="false">IF(A36="","x",IF(ISERROR(VLOOKUP($A36,'liste reference'!$A$8:$P$904,14,0)),IF(ISERROR(VLOOKUP($A36,'liste reference'!$B$8:$P$904,13,0)),"x",VLOOKUP($A36,'liste reference'!$B$8:$P$904,13,0)),VLOOKUP($A36,'liste reference'!$A$8:$P$904,14,0)))</f>
        <v>6</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arvense</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1384</v>
      </c>
      <c r="Q36" s="486" t="n">
        <f aca="false">IF(ISTEXT(H36),"",(B36*$B$7/100)+(C36*$C$7/100))</f>
        <v>0.005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EQUARV</v>
      </c>
      <c r="Z36" s="280" t="n">
        <f aca="false">IF(ISERROR(MATCH(A36,'liste reference'!$A$8:$A$904,0)),IF(ISERROR(MATCH(A36,'liste reference'!$B$8:$B$904,0)),"",(MATCH(A36,'liste reference'!$B$8:$B$904,0))),(MATCH(A36,'liste reference'!$A$8:$A$904,0)))</f>
        <v>278</v>
      </c>
      <c r="AA36" s="491"/>
      <c r="AB36" s="492"/>
      <c r="AC36" s="492"/>
      <c r="BB36" s="280" t="n">
        <f aca="false">IF(A36="","",1)</f>
        <v>1</v>
      </c>
    </row>
    <row r="37" customFormat="false" ht="12.75" hidden="false" customHeight="false" outlineLevel="0" collapsed="false">
      <c r="A37" s="493" t="s">
        <v>1708</v>
      </c>
      <c r="B37" s="494" t="n">
        <v>0.1</v>
      </c>
      <c r="C37" s="495" t="n">
        <v>0.05</v>
      </c>
      <c r="D37" s="477" t="str">
        <f aca="false">IF(ISERROR(VLOOKUP($A37,'liste reference'!$A$7:$D$904,2,0)),IF(ISERROR(VLOOKUP($A37,'liste reference'!$B$7:$D$904,1,0)),"",VLOOKUP($A37,'liste reference'!$B$7:$D$904,1,0)),VLOOKUP($A37,'liste reference'!$A$7:$D$904,2,0))</f>
        <v>Agrostis stolonifera</v>
      </c>
      <c r="E37" s="496" t="e">
        <f aca="false">IF(D37="",0,VLOOKUP(D37,D$22:D36,1,0))</f>
        <v>#N/A</v>
      </c>
      <c r="F37" s="501" t="n">
        <f aca="false">($B37*$B$7+$C37*$C$7)/100</f>
        <v>0.0875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t="s">
        <v>2685</v>
      </c>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0.0875</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t="s">
        <v>2685</v>
      </c>
      <c r="AB37" s="492"/>
      <c r="AC37" s="492"/>
      <c r="BB37" s="280" t="n">
        <f aca="false">IF(A37="","",1)</f>
        <v>1</v>
      </c>
    </row>
    <row r="38" customFormat="false" ht="12.75" hidden="false" customHeight="false" outlineLevel="0" collapsed="false">
      <c r="A38" s="493" t="s">
        <v>1782</v>
      </c>
      <c r="B38" s="494" t="n">
        <v>0.05</v>
      </c>
      <c r="C38" s="495" t="n">
        <v>0.1</v>
      </c>
      <c r="D38" s="477" t="str">
        <f aca="false">IF(ISERROR(VLOOKUP($A38,'liste reference'!$A$7:$D$904,2,0)),IF(ISERROR(VLOOKUP($A38,'liste reference'!$B$7:$D$904,1,0)),"",VLOOKUP($A38,'liste reference'!$B$7:$D$904,1,0)),VLOOKUP($A38,'liste reference'!$A$7:$D$904,2,0))</f>
        <v>Carex pendula</v>
      </c>
      <c r="E38" s="496" t="e">
        <f aca="false">IF(D38="",0,VLOOKUP(D38,D$22:D37,1,0))</f>
        <v>#N/A</v>
      </c>
      <c r="F38" s="501" t="n">
        <f aca="false">($B38*$B$7+$C38*$C$7)/100</f>
        <v>0.0625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Carex pendula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1485</v>
      </c>
      <c r="Q38" s="486" t="n">
        <f aca="false">IF(ISTEXT(H38),"",(B38*$B$7/100)+(C38*$C$7/100))</f>
        <v>0.0625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CARPEN</v>
      </c>
      <c r="Z38" s="280" t="n">
        <f aca="false">IF(ISERROR(MATCH(A38,'liste reference'!$A$8:$A$904,0)),IF(ISERROR(MATCH(A38,'liste reference'!$B$8:$B$904,0)),"",(MATCH(A38,'liste reference'!$B$8:$B$904,0))),(MATCH(A38,'liste reference'!$A$8:$A$904,0)))</f>
        <v>541</v>
      </c>
      <c r="AA38" s="491"/>
      <c r="AB38" s="492"/>
      <c r="AC38" s="492"/>
      <c r="BB38" s="280" t="n">
        <f aca="false">IF(A38="","",1)</f>
        <v>1</v>
      </c>
    </row>
    <row r="39" customFormat="false" ht="12.75" hidden="false" customHeight="false" outlineLevel="0" collapsed="false">
      <c r="A39" s="493" t="s">
        <v>1913</v>
      </c>
      <c r="B39" s="494" t="n">
        <v>0.005</v>
      </c>
      <c r="C39" s="495"/>
      <c r="D39" s="477" t="str">
        <f aca="false">IF(ISERROR(VLOOKUP($A39,'liste reference'!$A$7:$D$904,2,0)),IF(ISERROR(VLOOKUP($A39,'liste reference'!$B$7:$D$904,1,0)),"",VLOOKUP($A39,'liste reference'!$B$7:$D$904,1,0)),VLOOKUP($A39,'liste reference'!$A$7:$D$904,2,0))</f>
        <v>Lycopus europaeus</v>
      </c>
      <c r="E39" s="496" t="e">
        <f aca="false">IF(D39="",0,VLOOKUP(D39,D$22:D38,1,0))</f>
        <v>#N/A</v>
      </c>
      <c r="F39" s="501" t="n">
        <f aca="false">($B39*$B$7+$C39*$C$7)/100</f>
        <v>0.00375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11</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Lycopus europaeus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1789</v>
      </c>
      <c r="Q39" s="486" t="n">
        <f aca="false">IF(ISTEXT(H39),"",(B39*$B$7/100)+(C39*$C$7/100))</f>
        <v>0.00375</v>
      </c>
      <c r="R39" s="487" t="n">
        <f aca="false">IF(OR(ISTEXT(H39),Q39=0),"",IF(Q39&lt;0.1,1,IF(Q39&lt;1,2,IF(Q39&lt;10,3,IF(Q39&lt;50,4,IF(Q39&gt;=50,5,""))))))</f>
        <v>1</v>
      </c>
      <c r="S39" s="487" t="n">
        <f aca="false">IF(ISERROR(R39*I39),0,R39*I39)</f>
        <v>11</v>
      </c>
      <c r="T39" s="487" t="n">
        <f aca="false">IF(ISERROR(R39*I39*J39),0,R39*I39*J39)</f>
        <v>11</v>
      </c>
      <c r="U39" s="499" t="n">
        <f aca="false">IF(ISERROR(R39*J39),0,R39*J39)</f>
        <v>1</v>
      </c>
      <c r="V39" s="488" t="str">
        <f aca="false">IF(AND(A39="",F39=0),"",IF(F39=0,"Il manque le(s) % de rec. !",""))</f>
        <v/>
      </c>
      <c r="W39" s="489"/>
      <c r="Y39" s="490" t="str">
        <f aca="false">IF(A39="new.cod","NEWCOD",IF(AND((Z39=""),ISTEXT(A39)),A39,IF(Z39="","",INDEX('liste reference'!$A$8:$A$904,Z39))))</f>
        <v>LYCEUR</v>
      </c>
      <c r="Z39" s="280" t="n">
        <f aca="false">IF(ISERROR(MATCH(A39,'liste reference'!$A$8:$A$904,0)),IF(ISERROR(MATCH(A39,'liste reference'!$B$8:$B$904,0)),"",(MATCH(A39,'liste reference'!$B$8:$B$904,0))),(MATCH(A39,'liste reference'!$A$8:$A$904,0)))</f>
        <v>596</v>
      </c>
      <c r="AA39" s="491"/>
      <c r="AB39" s="492"/>
      <c r="AC39" s="492"/>
      <c r="BB39" s="280" t="n">
        <f aca="false">IF(A39="","",1)</f>
        <v>1</v>
      </c>
    </row>
    <row r="40" customFormat="false" ht="12.75" hidden="false" customHeight="false" outlineLevel="0" collapsed="false">
      <c r="A40" s="493" t="s">
        <v>1932</v>
      </c>
      <c r="B40" s="494" t="n">
        <v>0.005</v>
      </c>
      <c r="C40" s="495"/>
      <c r="D40" s="477" t="str">
        <f aca="false">IF(ISERROR(VLOOKUP($A40,'liste reference'!$A$7:$D$904,2,0)),IF(ISERROR(VLOOKUP($A40,'liste reference'!$B$7:$D$904,1,0)),"",VLOOKUP($A40,'liste reference'!$B$7:$D$904,1,0)),VLOOKUP($A40,'liste reference'!$A$7:$D$904,2,0))</f>
        <v>Lythrum salicaria</v>
      </c>
      <c r="E40" s="496" t="e">
        <f aca="false">IF(D40="",0,VLOOKUP(D40,D$22:D39,1,0))</f>
        <v>#N/A</v>
      </c>
      <c r="F40" s="501" t="n">
        <f aca="false">($B40*$B$7+$C40*$C$7)/100</f>
        <v>0.00375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Lythrum salicaria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1823</v>
      </c>
      <c r="Q40" s="486" t="n">
        <f aca="false">IF(ISTEXT(H40),"",(B40*$B$7/100)+(C40*$C$7/100))</f>
        <v>0.00375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LYTSAL</v>
      </c>
      <c r="Z40" s="280" t="n">
        <f aca="false">IF(ISERROR(MATCH(A40,'liste reference'!$A$8:$A$904,0)),IF(ISERROR(MATCH(A40,'liste reference'!$B$8:$B$904,0)),"",(MATCH(A40,'liste reference'!$B$8:$B$904,0))),(MATCH(A40,'liste reference'!$A$8:$A$904,0)))</f>
        <v>605</v>
      </c>
      <c r="AA40" s="491"/>
      <c r="AB40" s="492"/>
      <c r="AC40" s="492"/>
      <c r="BB40" s="280" t="n">
        <f aca="false">IF(A40="","",1)</f>
        <v>1</v>
      </c>
    </row>
    <row r="41" customFormat="false" ht="12.75" hidden="false" customHeight="false" outlineLevel="0" collapsed="false">
      <c r="A41" s="493" t="s">
        <v>2002</v>
      </c>
      <c r="B41" s="494"/>
      <c r="C41" s="495" t="n">
        <v>0.005</v>
      </c>
      <c r="D41" s="477" t="str">
        <f aca="false">IF(ISERROR(VLOOKUP($A41,'liste reference'!$A$7:$D$904,2,0)),IF(ISERROR(VLOOKUP($A41,'liste reference'!$B$7:$D$904,1,0)),"",VLOOKUP($A41,'liste reference'!$B$7:$D$904,1,0)),VLOOKUP($A41,'liste reference'!$A$7:$D$904,2,0))</f>
        <v>Phragmites australis</v>
      </c>
      <c r="E41" s="496" t="e">
        <f aca="false">IF(D41="",0,VLOOKUP(D41,D$22:D40,1,0))</f>
        <v>#N/A</v>
      </c>
      <c r="F41" s="501" t="n">
        <f aca="false">($B41*$B$7+$C41*$C$7)/100</f>
        <v>0.00125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9</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Phragmites australis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1579</v>
      </c>
      <c r="Q41" s="486" t="n">
        <f aca="false">IF(ISTEXT(H41),"",(B41*$B$7/100)+(C41*$C$7/100))</f>
        <v>0.00125</v>
      </c>
      <c r="R41" s="487" t="n">
        <f aca="false">IF(OR(ISTEXT(H41),Q41=0),"",IF(Q41&lt;0.1,1,IF(Q41&lt;1,2,IF(Q41&lt;10,3,IF(Q41&lt;50,4,IF(Q41&gt;=50,5,""))))))</f>
        <v>1</v>
      </c>
      <c r="S41" s="487" t="n">
        <f aca="false">IF(ISERROR(R41*I41),0,R41*I41)</f>
        <v>9</v>
      </c>
      <c r="T41" s="487" t="n">
        <f aca="false">IF(ISERROR(R41*I41*J41),0,R41*I41*J41)</f>
        <v>18</v>
      </c>
      <c r="U41" s="499" t="n">
        <f aca="false">IF(ISERROR(R41*J41),0,R41*J41)</f>
        <v>2</v>
      </c>
      <c r="V41" s="488" t="str">
        <f aca="false">IF(AND(A41="",F41=0),"",IF(F41=0,"Il manque le(s) % de rec. !",""))</f>
        <v/>
      </c>
      <c r="W41" s="489"/>
      <c r="Y41" s="490" t="str">
        <f aca="false">IF(A41="new.cod","NEWCOD",IF(AND((Z41=""),ISTEXT(A41)),A41,IF(Z41="","",INDEX('liste reference'!$A$8:$A$904,Z41))))</f>
        <v>PHRAUS</v>
      </c>
      <c r="Z41" s="280" t="n">
        <f aca="false">IF(ISERROR(MATCH(A41,'liste reference'!$A$8:$A$904,0)),IF(ISERROR(MATCH(A41,'liste reference'!$B$8:$B$904,0)),"",(MATCH(A41,'liste reference'!$B$8:$B$904,0))),(MATCH(A41,'liste reference'!$A$8:$A$904,0)))</f>
        <v>635</v>
      </c>
      <c r="AA41" s="491"/>
      <c r="AB41" s="492"/>
      <c r="AC41" s="492"/>
      <c r="BB41" s="280" t="n">
        <f aca="false">IF(A41="","",1)</f>
        <v>1</v>
      </c>
    </row>
    <row r="42" customFormat="false" ht="12.75" hidden="false" customHeight="false" outlineLevel="0" collapsed="false">
      <c r="A42" s="493" t="s">
        <v>2307</v>
      </c>
      <c r="B42" s="494" t="n">
        <v>0.005</v>
      </c>
      <c r="C42" s="495"/>
      <c r="D42" s="477" t="str">
        <f aca="false">IF(ISERROR(VLOOKUP($A42,'liste reference'!$A$7:$D$904,2,0)),IF(ISERROR(VLOOKUP($A42,'liste reference'!$B$7:$D$904,1,0)),"",VLOOKUP($A42,'liste reference'!$B$7:$D$904,1,0)),VLOOKUP($A42,'liste reference'!$A$7:$D$904,2,0))</f>
        <v>Juncus articulatus</v>
      </c>
      <c r="E42" s="496" t="e">
        <f aca="false">IF(D42="",0,VLOOKUP(D42,D$22:D35,1,0))</f>
        <v>#N/A</v>
      </c>
      <c r="F42" s="501" t="n">
        <f aca="false">($B42*$B$7+$C42*$C$7)/100</f>
        <v>0.00375</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articulatus</v>
      </c>
      <c r="L42" s="498"/>
      <c r="M42" s="498"/>
      <c r="N42" s="498"/>
      <c r="O42" s="484" t="s">
        <v>2685</v>
      </c>
      <c r="P42" s="485" t="n">
        <f aca="false">IF($A42="NEWCOD",IF($AC42="","No",$AC42),IF(ISTEXT($E42),"DEJA SAISI !",IF($A42="","",IF(ISERROR(VLOOKUP($A42,'liste reference'!A:S,19,FALSE())),IF(ISERROR(VLOOKUP($A42,'liste reference'!B:S,19,FALSE())),"",VLOOKUP($A42,'liste reference'!B:S,19,FALSE())),VLOOKUP($A42,'liste reference'!A:S,19,FALSE())))))</f>
        <v>1609</v>
      </c>
      <c r="Q42" s="486" t="n">
        <f aca="false">IF(ISTEXT(H42),"",(B42*$B$7/100)+(C42*$C$7/100))</f>
        <v>0.00375</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JUNART</v>
      </c>
      <c r="Z42" s="280" t="n">
        <f aca="false">IF(ISERROR(MATCH(A42,'liste reference'!$A$8:$A$904,0)),IF(ISERROR(MATCH(A42,'liste reference'!$B$8:$B$904,0)),"",(MATCH(A42,'liste reference'!$B$8:$B$904,0))),(MATCH(A42,'liste reference'!$A$8:$A$904,0)))</f>
        <v>768</v>
      </c>
      <c r="AA42" s="491" t="s">
        <v>2685</v>
      </c>
      <c r="AB42" s="492"/>
      <c r="AC42" s="492"/>
      <c r="BB42" s="280" t="n">
        <f aca="false">IF(A42="","",1)</f>
        <v>1</v>
      </c>
    </row>
    <row r="43" customFormat="false" ht="12.75" hidden="false" customHeight="false" outlineLevel="0" collapsed="false">
      <c r="A43" s="493" t="s">
        <v>2387</v>
      </c>
      <c r="B43" s="494" t="n">
        <v>0.005</v>
      </c>
      <c r="C43" s="495"/>
      <c r="D43" s="477" t="str">
        <f aca="false">IF(ISERROR(VLOOKUP($A43,'liste reference'!$A$7:$D$904,2,0)),IF(ISERROR(VLOOKUP($A43,'liste reference'!$B$7:$D$904,1,0)),"",VLOOKUP($A43,'liste reference'!$B$7:$D$904,1,0)),VLOOKUP($A43,'liste reference'!$A$7:$D$904,2,0))</f>
        <v>Pulicaria dysenterica</v>
      </c>
      <c r="E43" s="496" t="e">
        <f aca="false">IF(D43="",0,VLOOKUP(D43,D$22:D42,1,0))</f>
        <v>#N/A</v>
      </c>
      <c r="F43" s="501" t="n">
        <f aca="false">($B43*$B$7+$C43*$C$7)/100</f>
        <v>0.00375</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Pulicaria dysenterica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1748</v>
      </c>
      <c r="Q43" s="486" t="n">
        <f aca="false">IF(ISTEXT(H43),"",(B43*$B$7/100)+(C43*$C$7/100))</f>
        <v>0.00375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PULDYS</v>
      </c>
      <c r="Z43" s="280" t="n">
        <f aca="false">IF(ISERROR(MATCH(A43,'liste reference'!$A$8:$A$904,0)),IF(ISERROR(MATCH(A43,'liste reference'!$B$8:$B$904,0)),"",(MATCH(A43,'liste reference'!$B$8:$B$904,0))),(MATCH(A43,'liste reference'!$A$8:$A$904,0)))</f>
        <v>802</v>
      </c>
      <c r="AA43" s="491"/>
      <c r="AB43" s="492"/>
      <c r="AC43" s="492"/>
      <c r="BB43" s="280" t="n">
        <f aca="false">IF(A43="","",1)</f>
        <v>1</v>
      </c>
    </row>
    <row r="44" customFormat="false" ht="12.75" hidden="false" customHeight="false" outlineLevel="0" collapsed="false">
      <c r="A44" s="493" t="s">
        <v>2686</v>
      </c>
      <c r="B44" s="494" t="n">
        <v>0.005</v>
      </c>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0.00375</v>
      </c>
      <c r="G44" s="479" t="str">
        <f aca="false">IF(A44="","",IF(ISERROR(VLOOKUP($A44,'liste reference'!$A$7:$P$904,13,0)),IF(ISERROR(VLOOKUP($A44,'liste reference'!$B$7:$P$904,12,0)),"    -",VLOOKUP($A44,'liste reference'!$B$7:$P$904,12,0)),VLOOKUP($A44,'liste reference'!$A$7:$P$904,13,0)))</f>
        <v>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Tussilago farfara</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No</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NEWCOD</v>
      </c>
      <c r="Z44" s="280" t="str">
        <f aca="false">IF(ISERROR(MATCH(A44,'liste reference'!$A$8:$A$904,0)),IF(ISERROR(MATCH(A44,'liste reference'!$B$8:$B$904,0)),"",(MATCH(A44,'liste reference'!$B$8:$B$904,0))),(MATCH(A44,'liste reference'!$A$8:$A$904,0)))</f>
        <v/>
      </c>
      <c r="AA44" s="491"/>
      <c r="AB44" s="492" t="s">
        <v>2687</v>
      </c>
      <c r="AC44" s="492"/>
      <c r="BB44" s="280" t="n">
        <f aca="false">IF(A44="","",1)</f>
        <v>1</v>
      </c>
    </row>
    <row r="45" customFormat="false" ht="12.75" hidden="false" customHeight="false" outlineLevel="0" collapsed="false">
      <c r="A45" s="493" t="s">
        <v>2686</v>
      </c>
      <c r="B45" s="494" t="n">
        <v>0.1</v>
      </c>
      <c r="C45" s="495" t="n">
        <v>0.05</v>
      </c>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0.0875</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Festuca arundinacea</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2688</v>
      </c>
      <c r="AC45" s="492"/>
      <c r="BB45" s="280" t="n">
        <f aca="false">IF(A45="","",1)</f>
        <v>1</v>
      </c>
    </row>
    <row r="46" customFormat="false" ht="12.75" hidden="false" customHeight="false" outlineLevel="0" collapsed="false">
      <c r="A46" s="493" t="s">
        <v>2686</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1" t="n">
        <f aca="false">($B46*$B$7+$C46*$C$7)/100</f>
        <v>0.00375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Didymodon spadiceus</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2689</v>
      </c>
      <c r="AC46" s="492"/>
      <c r="BB46" s="280" t="n">
        <f aca="false">IF(A46="","",1)</f>
        <v>1</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COULON</v>
      </c>
      <c r="B84" s="529" t="str">
        <f aca="false">C3</f>
        <v>Céreste</v>
      </c>
      <c r="C84" s="530" t="n">
        <f aca="false">A4</f>
        <v>41432</v>
      </c>
      <c r="D84" s="531" t="n">
        <f aca="false">IF(ISERROR(SUM($T$23:$T$82)/SUM($U$23:$U$82)),"",SUM($T$23:$T$82)/SUM($U$23:$U$82))</f>
        <v>11</v>
      </c>
      <c r="E84" s="532" t="n">
        <f aca="false">N13</f>
        <v>24</v>
      </c>
      <c r="F84" s="529" t="n">
        <f aca="false">N14</f>
        <v>21</v>
      </c>
      <c r="G84" s="529" t="n">
        <f aca="false">N15</f>
        <v>7</v>
      </c>
      <c r="H84" s="529" t="n">
        <f aca="false">N16</f>
        <v>6</v>
      </c>
      <c r="I84" s="529" t="n">
        <f aca="false">N17</f>
        <v>1</v>
      </c>
      <c r="J84" s="533" t="n">
        <f aca="false">N8</f>
        <v>6.85714285714286</v>
      </c>
      <c r="K84" s="531" t="n">
        <f aca="false">N9</f>
        <v>5.60854547212779</v>
      </c>
      <c r="L84" s="532" t="n">
        <f aca="false">N10</f>
        <v>0</v>
      </c>
      <c r="M84" s="532" t="n">
        <f aca="false">N11</f>
        <v>18</v>
      </c>
      <c r="N84" s="531" t="n">
        <f aca="false">O8</f>
        <v>1.04761904761905</v>
      </c>
      <c r="O84" s="531" t="n">
        <f aca="false">O9</f>
        <v>0.8984743935292</v>
      </c>
      <c r="P84" s="532" t="n">
        <f aca="false">O10</f>
        <v>0</v>
      </c>
      <c r="Q84" s="532" t="n">
        <f aca="false">O11</f>
        <v>3</v>
      </c>
      <c r="R84" s="532" t="n">
        <f aca="false">F21</f>
        <v>1.3075</v>
      </c>
      <c r="S84" s="532" t="n">
        <f aca="false">K11</f>
        <v>0</v>
      </c>
      <c r="T84" s="532" t="n">
        <f aca="false">K12</f>
        <v>8</v>
      </c>
      <c r="U84" s="532" t="n">
        <f aca="false">K13</f>
        <v>5</v>
      </c>
      <c r="V84" s="534" t="n">
        <f aca="false">K14</f>
        <v>1</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24</v>
      </c>
      <c r="T87" s="280"/>
      <c r="U87" s="280"/>
      <c r="V87" s="280"/>
    </row>
    <row r="88" customFormat="false" ht="12.75" hidden="true" customHeight="false" outlineLevel="0" collapsed="false">
      <c r="P88" s="280"/>
      <c r="Q88" s="280" t="s">
        <v>2693</v>
      </c>
      <c r="R88" s="280"/>
      <c r="S88" s="488" t="n">
        <f aca="false">VLOOKUP((S87),($S$23:$U$82),2,0)</f>
        <v>48</v>
      </c>
      <c r="T88" s="280"/>
      <c r="U88" s="280"/>
      <c r="V88" s="280"/>
    </row>
    <row r="89" customFormat="false" ht="12.75" hidden="true" customHeight="false" outlineLevel="0" collapsed="false">
      <c r="Q89" s="280" t="s">
        <v>2694</v>
      </c>
      <c r="R89" s="280"/>
      <c r="S89" s="488" t="n">
        <f aca="false">VLOOKUP((S87),($S$23:$U$82),3,0)</f>
        <v>4</v>
      </c>
      <c r="T89" s="280"/>
    </row>
    <row r="90" customFormat="false" ht="12.75" hidden="false" customHeight="false" outlineLevel="0" collapsed="false">
      <c r="Q90" s="280" t="s">
        <v>2695</v>
      </c>
      <c r="R90" s="280"/>
      <c r="S90" s="538" t="n">
        <f aca="false">IF(ISERROR(SUM($T$23:$T$82)/SUM($U$23:$U$82)),"",(SUM($T$23:$T$82)-S88)/(SUM($U$23:$U$82)-S89))</f>
        <v>10.8260869565217</v>
      </c>
      <c r="T90" s="280"/>
    </row>
    <row r="91" customFormat="false" ht="12.75" hidden="false" customHeight="false" outlineLevel="0" collapsed="false">
      <c r="Q91" s="487" t="s">
        <v>2696</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2697</v>
      </c>
      <c r="R92" s="280"/>
      <c r="S92" s="280" t="n">
        <f aca="false">MATCH(S87,$S$23:$S$82,0)</f>
        <v>2</v>
      </c>
      <c r="T92" s="280"/>
    </row>
    <row r="93" customFormat="false" ht="12.75" hidden="false" customHeight="false" outlineLevel="0" collapsed="false">
      <c r="Q93" s="487" t="s">
        <v>2698</v>
      </c>
      <c r="R93" s="280"/>
      <c r="S93" s="487" t="str">
        <f aca="false">INDEX($A$23:$A$82,$S$92)</f>
        <v>DIASPX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2713</v>
      </c>
      <c r="G17" s="577"/>
      <c r="H17" s="576" t="s">
        <v>2713</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2014-04-10T16:46:39Z</dcterms:modified>
  <cp:revision>0</cp:revision>
  <dc:subject/>
  <dc:title>Feuille d'aide au calcul de l'IBMR</dc:title>
</cp:coreProperties>
</file>