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Riu Ferrer"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'Riu Ferrer'!$A$1:$O$82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'Riu Ferrer'!$A$23:$J$84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<sst xmlns="http://schemas.openxmlformats.org/spreadsheetml/2006/main" count="7347" uniqueCount="2728">
  <si>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</si>
  <si>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</si>
  <si>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</si>
  <si>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</si>
  <si>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</si>
  <si>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</si>
  <si>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</si>
  <si>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</si>
  <si>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</si>
  <si>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</si>
  <si>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</si>
  <si>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</si>
  <si>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</si>
  <si>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</si>
  <si>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</si>
  <si>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</si>
  <si>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</si>
  <si>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</si>
  <si>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</si>
  <si>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</si>
  <si>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</si>
  <si>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</si>
  <si>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</si>
  <si>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</si>
  <si>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</si>
  <si>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</si>
  <si>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</si>
  <si>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</si>
  <si>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</si>
  <si>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</si>
  <si>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</si>
  <si>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</si>
  <si>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</si>
  <si>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</si>
  <si>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</si>
  <si>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</si>
  <si>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</si>
  <si>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</si>
  <si>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</si>
  <si>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</si>
  <si>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</si>
  <si>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</si>
  <si>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</si>
  <si>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</si>
  <si>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</si>
  <si>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</si>
  <si>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</si>
  <si>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</si>
  <si>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</si>
  <si>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</si>
  <si>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</si>
  <si>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</si>
  <si>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</si>
  <si>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</si>
  <si>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</si>
  <si>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</si>
  <si>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</si>
  <si>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</si>
  <si>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</si>
  <si>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</si>
  <si>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</si>
  <si>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</si>
  <si>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</si>
  <si>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</si>
  <si>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</si>
  <si>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</si>
  <si>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</si>
  <si>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</si>
  <si>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</si>
  <si>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</si>
  <si>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</si>
  <si>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</si>
  <si>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</si>
  <si>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</si>
  <si>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</si>
  <si>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</si>
  <si>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</si>
  <si>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</si>
  <si>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</si>
  <si>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</si>
  <si>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</si>
  <si>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</si>
  <si>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</si>
  <si>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</si>
  <si>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</si>
  <si>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</si>
  <si>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</si>
  <si>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</si>
  <si>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</si>
  <si>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</si>
  <si>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</si>
  <si>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</si>
  <si>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</si>
  <si>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</si>
  <si>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</si>
  <si>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</si>
  <si>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</si>
  <si>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</si>
  <si>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</si>
  <si>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</si>
  <si>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</si>
  <si>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</si>
  <si>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</si>
  <si>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</si>
  <si>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</si>
  <si>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</si>
  <si>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</si>
  <si>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</si>
  <si>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</si>
  <si>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</si>
  <si>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</si>
  <si>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</si>
  <si>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</si>
  <si>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</si>
  <si>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</si>
  <si>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</si>
  <si>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</si>
  <si>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</si>
  <si>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</si>
  <si>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</si>
  <si>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</si>
  <si>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</si>
  <si>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</si>
  <si>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</si>
  <si>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</si>
  <si>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</si>
  <si>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</si>
  <si>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</si>
  <si>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</si>
  <si>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</si>
  <si>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</si>
  <si>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</si>
  <si>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</si>
  <si>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</si>
  <si>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</si>
  <si>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</si>
  <si>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</si>
  <si>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</si>
  <si>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</si>
  <si>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</si>
  <si>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</si>
  <si>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</si>
  <si>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</si>
  <si>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</si>
  <si>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</si>
  <si>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</si>
  <si>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</si>
  <si>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</si>
  <si>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</si>
  <si>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</si>
  <si>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</si>
  <si>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</si>
  <si>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</si>
  <si>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</si>
  <si>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</si>
  <si>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</si>
  <si>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</si>
  <si>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</si>
  <si>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</si>
  <si>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</si>
  <si>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</si>
  <si>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</si>
  <si>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</si>
  <si>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</si>
  <si>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</si>
  <si>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</si>
  <si>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</si>
  <si>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</si>
  <si>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</si>
  <si>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</si>
  <si>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</si>
  <si>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</si>
  <si>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</si>
  <si>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</si>
  <si>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</si>
  <si>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</si>
  <si>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</si>
  <si>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</si>
  <si>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</si>
  <si>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</si>
  <si>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</si>
  <si>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</si>
  <si>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</si>
  <si>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</si>
  <si>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</si>
  <si>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</si>
  <si>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</si>
  <si>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</si>
  <si>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</si>
  <si>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</si>
  <si>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</si>
  <si>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</si>
  <si>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</si>
  <si>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</si>
  <si>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</si>
  <si>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</si>
  <si>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</si>
  <si>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</si>
  <si>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</si>
  <si>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</si>
  <si>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</si>
  <si>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</si>
  <si>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</si>
  <si>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</si>
  <si>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</si>
  <si>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</si>
  <si>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</si>
  <si>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</si>
  <si>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</si>
  <si>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</si>
  <si>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</si>
  <si>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</si>
  <si>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</si>
  <si>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</si>
  <si>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</si>
  <si>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</si>
  <si>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</si>
  <si>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</si>
  <si>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</si>
  <si>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</si>
  <si>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</si>
  <si>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</si>
  <si>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</si>
  <si>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</si>
  <si>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</si>
  <si>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</si>
  <si>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</si>
  <si>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</si>
  <si>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</si>
  <si>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</si>
  <si>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</si>
  <si>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</si>
  <si>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</si>
  <si>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</si>
  <si>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</si>
  <si>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</si>
  <si>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</si>
  <si>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</si>
  <si>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</si>
  <si>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</si>
  <si>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</si>
  <si>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</si>
  <si>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</si>
  <si>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</si>
  <si>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</si>
  <si>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</si>
  <si>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</si>
  <si>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</si>
  <si>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</si>
  <si>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</si>
  <si>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</si>
  <si>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</si>
  <si>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</si>
  <si>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</si>
  <si>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</si>
  <si>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</si>
  <si>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</si>
  <si>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</si>
  <si>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</si>
  <si>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</si>
  <si>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</si>
  <si>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</si>
  <si>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</si>
  <si>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</si>
  <si>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</si>
  <si>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</si>
  <si>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</si>
  <si>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</si>
  <si>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</si>
  <si>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</si>
  <si>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</si>
  <si>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</si>
  <si>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</si>
  <si>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</si>
  <si>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</si>
  <si>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</si>
  <si>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</si>
  <si>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</si>
  <si>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</si>
  <si>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</si>
  <si>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</si>
  <si>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</si>
  <si>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</si>
  <si>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</si>
  <si>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</si>
  <si>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</si>
  <si>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</si>
  <si>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</si>
  <si>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</si>
  <si>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</si>
  <si>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</si>
  <si>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</si>
  <si>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</si>
  <si>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</si>
  <si>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</si>
  <si>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</si>
  <si>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</si>
  <si>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</si>
  <si>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</si>
  <si>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</si>
  <si>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</si>
  <si>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</si>
  <si>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</si>
  <si>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</si>
  <si>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</si>
  <si>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</si>
  <si>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</si>
  <si>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</si>
  <si>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</si>
  <si>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</si>
  <si>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</si>
  <si>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</si>
  <si>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</si>
  <si>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</si>
  <si>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</si>
  <si>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</si>
  <si>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</si>
  <si>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</si>
  <si>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</si>
  <si>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</si>
  <si>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</si>
  <si>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</si>
  <si>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</si>
  <si>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</si>
  <si>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</si>
  <si>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</si>
  <si>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</si>
  <si>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</si>
  <si>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</si>
  <si>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</si>
  <si>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</si>
  <si>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</si>
  <si>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</si>
  <si>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</si>
  <si>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</si>
  <si>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</si>
  <si>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</si>
  <si>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</si>
  <si>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</si>
  <si>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</si>
  <si>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</si>
  <si>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</si>
  <si>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</si>
  <si>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</si>
  <si>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</si>
  <si>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</si>
  <si>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</si>
  <si>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</si>
  <si>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</si>
  <si>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</si>
  <si>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</si>
  <si>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</si>
  <si>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</si>
  <si>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</si>
  <si>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</si>
  <si>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</si>
  <si>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</si>
  <si>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</si>
  <si>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</si>
  <si>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</si>
  <si>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</si>
  <si>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</si>
  <si>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</si>
  <si>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</si>
  <si>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</si>
  <si>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</si>
  <si>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</si>
  <si>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</si>
  <si>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</si>
  <si>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</si>
  <si>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</si>
  <si>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</si>
  <si>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</si>
  <si>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</si>
  <si>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</si>
  <si>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</si>
  <si>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</si>
  <si>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</si>
  <si>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</si>
  <si>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</si>
  <si>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</si>
  <si>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</si>
  <si>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</si>
  <si>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</si>
  <si>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</si>
  <si>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</si>
  <si>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</si>
  <si>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</si>
  <si>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</si>
  <si>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</si>
  <si>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</si>
  <si>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</si>
  <si>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</si>
  <si>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</si>
  <si>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</si>
  <si>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</si>
  <si>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</si>
  <si>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</si>
  <si>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</si>
  <si>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</si>
  <si>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</si>
  <si>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</si>
  <si>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</si>
  <si>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</si>
  <si>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</si>
  <si>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</si>
  <si>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</si>
  <si>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</si>
  <si>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</si>
  <si>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</si>
  <si>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</si>
  <si>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</si>
  <si>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</si>
  <si>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</si>
  <si>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</si>
  <si>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</si>
  <si>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</si>
  <si>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</si>
  <si>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</si>
  <si>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</si>
  <si>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</si>
  <si>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</si>
  <si>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</si>
  <si>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</si>
  <si>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</si>
  <si>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</si>
  <si>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</si>
  <si>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</si>
  <si>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</si>
  <si>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</si>
  <si>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</si>
  <si>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</si>
  <si>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</si>
  <si>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</si>
  <si>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</si>
  <si>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</si>
  <si>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</si>
  <si>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</si>
  <si>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</si>
  <si>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</si>
  <si>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</si>
  <si>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</si>
  <si>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</si>
  <si>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</si>
  <si>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</si>
  <si>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</si>
  <si>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</si>
  <si>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</si>
  <si>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</si>
  <si>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</si>
  <si>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</si>
  <si>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</si>
  <si>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</si>
  <si>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</si>
  <si>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</si>
  <si>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</si>
  <si>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</si>
  <si>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</si>
  <si>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</si>
  <si>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</si>
  <si>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</si>
  <si>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</si>
  <si>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</si>
  <si>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</si>
  <si>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</si>
  <si>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</si>
  <si>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</si>
  <si>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</si>
  <si>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</si>
  <si>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</si>
  <si>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</si>
  <si>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</si>
  <si>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</si>
  <si>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</si>
  <si>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</si>
  <si>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</si>
  <si>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</si>
  <si>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</si>
  <si>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</si>
  <si>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</si>
  <si>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</si>
  <si>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</si>
  <si>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</si>
  <si>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</si>
  <si>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</si>
  <si>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</si>
  <si>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</si>
  <si>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</si>
  <si>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</si>
  <si>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</si>
  <si>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</si>
  <si>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</si>
  <si>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</si>
  <si>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</si>
  <si>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</si>
  <si>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</si>
  <si>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</si>
  <si>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</si>
  <si>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</si>
  <si>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</si>
  <si>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</si>
  <si>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</si>
  <si>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</si>
  <si>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</si>
  <si>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</si>
  <si>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</si>
  <si>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</si>
  <si>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</si>
  <si>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</si>
  <si>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</si>
  <si>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</si>
  <si>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</si>
  <si>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</si>
  <si>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</si>
  <si>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</si>
  <si>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</si>
  <si>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</si>
  <si>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</si>
  <si>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</si>
  <si>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</si>
  <si>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</si>
  <si>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</si>
  <si>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</si>
  <si>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</si>
  <si>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</si>
  <si>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</si>
  <si>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</si>
  <si>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</si>
  <si>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</si>
  <si>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</si>
  <si>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</si>
  <si>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</si>
  <si>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</si>
  <si>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</si>
  <si>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</si>
  <si>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</si>
  <si>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</si>
  <si>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</si>
  <si>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</si>
  <si>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</si>
  <si>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</si>
  <si>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</si>
  <si>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</si>
  <si>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</si>
  <si>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</si>
  <si>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</si>
  <si>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</si>
  <si>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</si>
  <si>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</si>
  <si>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</si>
  <si>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</si>
  <si>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</si>
  <si>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</si>
  <si>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</si>
  <si>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</si>
  <si>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</si>
  <si>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</si>
  <si>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</si>
  <si>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</si>
  <si>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</si>
  <si>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</si>
  <si>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</si>
  <si>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</si>
  <si>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</si>
  <si>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</si>
  <si>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</si>
  <si>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</si>
  <si>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</si>
  <si>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</si>
  <si>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</si>
  <si>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</si>
  <si>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</si>
  <si>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</si>
  <si>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</si>
  <si>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</si>
  <si>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</si>
  <si>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</si>
  <si>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</si>
  <si>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</si>
  <si>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</si>
  <si>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</si>
  <si>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</si>
  <si>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</si>
  <si>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</si>
  <si>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</si>
  <si>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</si>
  <si>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</si>
  <si>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</si>
  <si>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</si>
  <si>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</si>
  <si>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</si>
  <si>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</si>
  <si>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</si>
  <si>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</si>
  <si>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</si>
  <si>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</si>
  <si>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</si>
  <si>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</si>
  <si>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</si>
  <si>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</si>
  <si>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</si>
  <si>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</si>
  <si>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</si>
  <si>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</si>
  <si>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</si>
  <si>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</si>
  <si>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</si>
  <si>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</si>
  <si>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</si>
  <si>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</si>
  <si>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</si>
  <si>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</si>
  <si>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</si>
  <si>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</si>
  <si>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</si>
  <si>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</si>
  <si>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</si>
  <si>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</si>
  <si>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</si>
  <si>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</si>
  <si>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</si>
  <si>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</si>
  <si>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</si>
  <si>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</si>
  <si>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</si>
  <si>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</si>
  <si>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</si>
  <si>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</si>
  <si>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</si>
  <si>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</si>
  <si>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</si>
  <si>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</si>
  <si>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</si>
  <si>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</si>
  <si>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</si>
  <si>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</si>
  <si>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</si>
  <si>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</si>
  <si>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</si>
  <si>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</si>
  <si>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</si>
  <si>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</si>
  <si>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</si>
  <si>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</si>
  <si>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</si>
  <si>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</si>
  <si>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</si>
  <si>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</si>
  <si>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</si>
  <si>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</si>
  <si>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</si>
  <si>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</si>
  <si>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</si>
  <si>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</si>
  <si>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</si>
  <si>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</si>
  <si>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</si>
  <si>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</si>
  <si>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</si>
  <si>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</si>
  <si>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</si>
  <si>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</si>
  <si>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</si>
  <si>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</si>
  <si>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</si>
  <si>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</si>
  <si>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</si>
  <si>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</si>
  <si>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</si>
  <si>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</si>
  <si>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</si>
  <si>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</si>
  <si>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</si>
  <si>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</si>
  <si>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</si>
  <si>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</si>
  <si>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</si>
  <si>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</si>
  <si>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</si>
  <si>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</si>
  <si>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</si>
  <si>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</si>
  <si>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</si>
  <si>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</si>
  <si>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</si>
  <si>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</si>
  <si>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</si>
  <si>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</si>
  <si>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</si>
  <si>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</si>
  <si>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</si>
  <si>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</si>
  <si>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</si>
  <si>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</si>
  <si>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</si>
  <si>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</si>
  <si>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</si>
  <si>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</si>
  <si>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</si>
  <si>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</si>
  <si>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</si>
  <si>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</si>
  <si>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</si>
  <si>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</si>
  <si>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</si>
  <si>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</si>
  <si>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</si>
  <si>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</si>
  <si>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</si>
  <si>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</si>
  <si>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</si>
  <si>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</si>
  <si>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</si>
  <si>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</si>
  <si>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</si>
  <si>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</si>
  <si>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</si>
  <si>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</si>
  <si>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</si>
  <si>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</si>
  <si>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</si>
  <si>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</si>
  <si>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</si>
  <si>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</si>
  <si>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</si>
  <si>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</si>
  <si>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</si>
  <si>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</si>
  <si>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</si>
  <si>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</si>
  <si>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</si>
  <si>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</si>
  <si>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</si>
  <si>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</si>
  <si>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</si>
  <si>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</si>
  <si>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</si>
  <si>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</si>
  <si>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</si>
  <si>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</si>
  <si>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</si>
  <si>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</si>
  <si>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</si>
  <si>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</si>
  <si>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</si>
  <si>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</si>
  <si>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</si>
  <si>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</si>
  <si>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</si>
  <si>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</si>
  <si>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</si>
  <si>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</si>
  <si>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</si>
  <si>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</si>
  <si>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</si>
  <si>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</si>
  <si>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</si>
  <si>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</si>
  <si>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</si>
  <si>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</si>
  <si>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</si>
  <si>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</si>
  <si>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</si>
  <si>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</si>
  <si>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</si>
  <si>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</si>
  <si>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</si>
  <si>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</si>
  <si>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</si>
  <si>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</si>
  <si>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</si>
  <si>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</si>
  <si>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</si>
  <si>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</si>
  <si>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</si>
  <si>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</si>
  <si>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</si>
  <si>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</si>
  <si>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</si>
  <si>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</si>
  <si>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</si>
  <si>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</si>
  <si>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</si>
  <si>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</si>
  <si>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</si>
  <si>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</si>
  <si>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</si>
  <si>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</si>
  <si>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</si>
  <si>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</si>
  <si>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</si>
  <si>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</si>
  <si>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</si>
  <si>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</si>
  <si>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</si>
  <si>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</si>
  <si>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</si>
  <si>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</si>
  <si>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</si>
  <si>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</si>
  <si>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</si>
  <si>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</si>
  <si>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</si>
  <si>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</si>
  <si>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</si>
  <si>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</si>
  <si>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</si>
  <si>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</si>
  <si>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</si>
  <si>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</si>
  <si>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</si>
  <si>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</si>
  <si>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</si>
  <si>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</si>
  <si>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</si>
  <si>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</si>
  <si>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</si>
  <si>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</si>
  <si>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</si>
  <si>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</si>
  <si>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</si>
  <si>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</si>
  <si>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</si>
  <si>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</si>
  <si>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</si>
  <si>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</si>
  <si>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</si>
  <si>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</si>
  <si>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</si>
  <si>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</si>
  <si>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</si>
  <si>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</si>
  <si>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</si>
  <si>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</si>
  <si>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</si>
  <si>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</si>
  <si>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</si>
  <si>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</si>
  <si>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</si>
  <si>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</si>
  <si>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</si>
  <si>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</si>
  <si>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</si>
  <si>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</si>
  <si>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</si>
  <si>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</si>
  <si>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</si>
  <si>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</si>
  <si>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</si>
  <si>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</si>
  <si>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</si>
  <si>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</si>
  <si>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</si>
  <si>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</si>
  <si>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</si>
  <si>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</si>
  <si>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</si>
  <si>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</si>
  <si>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</si>
  <si>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</si>
  <si>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</si>
  <si>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</si>
  <si>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</si>
  <si>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</si>
  <si>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</si>
  <si>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</si>
  <si>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</si>
  <si>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</si>
  <si>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</si>
  <si>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</si>
  <si>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</si>
  <si>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</si>
  <si>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</si>
  <si>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</si>
  <si>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</si>
  <si>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</si>
  <si>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</si>
  <si>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</si>
  <si>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</si>
  <si>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</si>
  <si>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</si>
  <si>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</si>
  <si>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</si>
  <si>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</si>
  <si>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</si>
  <si>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</si>
  <si>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</si>
  <si>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</si>
  <si>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</si>
  <si>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</si>
  <si>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</si>
  <si>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</si>
  <si>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</si>
  <si>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</si>
  <si>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</si>
  <si>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</si>
  <si>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</si>
  <si>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</si>
  <si>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</si>
  <si>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</si>
  <si>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</si>
  <si>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</si>
  <si>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</si>
  <si>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</si>
  <si>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</si>
  <si>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</si>
  <si>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</si>
  <si>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</si>
  <si>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</si>
  <si>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</si>
  <si>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</si>
  <si>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</si>
  <si>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</si>
  <si>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</si>
  <si>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</si>
  <si>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</si>
  <si>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</si>
  <si>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</si>
  <si>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</si>
  <si>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</si>
  <si>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</si>
  <si>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</si>
  <si>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</si>
  <si>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</si>
  <si>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</si>
  <si>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</si>
  <si>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</si>
  <si>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</si>
  <si>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</si>
  <si>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</si>
  <si>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</si>
  <si>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</si>
  <si>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</si>
  <si>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</si>
  <si>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</si>
  <si>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</si>
  <si>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</si>
  <si>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</si>
  <si>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</si>
  <si>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</si>
  <si>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</si>
  <si>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</si>
  <si>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</si>
  <si>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</si>
  <si>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</si>
  <si>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</si>
  <si>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</si>
  <si>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</si>
  <si>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</si>
  <si>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</si>
  <si>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</si>
  <si>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</si>
  <si>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</si>
  <si>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</si>
  <si>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</si>
  <si>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</si>
  <si>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</si>
  <si>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</si>
  <si>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</si>
  <si>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</si>
  <si>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</si>
  <si>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</si>
  <si>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</si>
  <si>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</si>
  <si>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</si>
  <si>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</si>
  <si>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</si>
  <si>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</si>
  <si>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</si>
  <si>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</si>
  <si>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</si>
  <si>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</si>
  <si>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</si>
  <si>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</si>
  <si>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</si>
  <si>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</si>
  <si>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</si>
  <si>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</si>
  <si>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</si>
  <si>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</si>
  <si>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</si>
  <si>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</si>
  <si>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</si>
  <si>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</si>
  <si>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</si>
  <si>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</si>
  <si>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</si>
  <si>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</si>
  <si>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</si>
  <si>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</si>
  <si>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</si>
  <si>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</si>
  <si>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</si>
  <si>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</si>
  <si>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</si>
  <si>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</si>
  <si>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</si>
  <si>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</si>
  <si>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</si>
  <si>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</si>
  <si>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</si>
  <si>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</si>
  <si>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</si>
  <si>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</si>
  <si>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</si>
  <si>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</si>
  <si>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</si>
  <si>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</si>
  <si>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</si>
  <si>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</si>
  <si>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</si>
  <si>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</si>
  <si>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</si>
  <si>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</si>
  <si>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</si>
  <si>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</si>
  <si>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</si>
  <si>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</si>
  <si>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</si>
  <si>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</si>
  <si>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</si>
  <si>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</si>
  <si>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</si>
  <si>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</si>
  <si>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</si>
  <si>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</si>
  <si>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</si>
  <si>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</si>
  <si>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</si>
  <si>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</si>
  <si>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</si>
  <si>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</si>
  <si>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</si>
  <si>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</si>
  <si>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</si>
  <si>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</si>
  <si>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</si>
  <si>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</si>
  <si>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</si>
  <si>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</si>
  <si>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</si>
  <si>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</si>
  <si>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</si>
  <si>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</si>
  <si>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</si>
  <si>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</si>
  <si>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</si>
  <si>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</si>
  <si>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</si>
  <si>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</si>
  <si>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</si>
  <si>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</si>
  <si>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</si>
  <si>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</si>
  <si>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</si>
  <si>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</si>
  <si>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</si>
  <si>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</si>
  <si>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</si>
  <si>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</si>
  <si>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</si>
  <si>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</si>
  <si>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</si>
  <si>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</si>
  <si>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</si>
  <si>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</si>
  <si>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</si>
  <si>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</si>
  <si>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</si>
  <si>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</si>
  <si>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</si>
  <si>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</si>
  <si>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</si>
  <si>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</si>
  <si>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</si>
  <si>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</si>
  <si>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</si>
  <si>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</si>
  <si>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</si>
  <si>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</si>
  <si>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</si>
  <si>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</si>
  <si>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</si>
  <si>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</si>
  <si>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</si>
  <si>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</si>
  <si>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</si>
  <si>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</si>
  <si>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</si>
  <si>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</si>
  <si>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</si>
  <si>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</si>
  <si>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</si>
  <si>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</si>
  <si>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</si>
  <si>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</si>
  <si>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</si>
  <si>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</si>
  <si>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</si>
  <si>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</si>
  <si>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</si>
  <si>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</si>
  <si>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</si>
  <si>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</si>
  <si>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</si>
  <si>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</si>
  <si>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</si>
  <si>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</si>
  <si>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</si>
  <si>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</si>
  <si>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</si>
  <si>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</si>
  <si>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</si>
  <si>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</si>
  <si>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</si>
  <si>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</si>
  <si>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</si>
  <si>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</si>
  <si>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</si>
  <si>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</si>
  <si>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</si>
  <si>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</si>
  <si>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</si>
  <si>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</si>
  <si>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</si>
  <si>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</si>
  <si>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</si>
  <si>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</si>
  <si>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</si>
  <si>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</si>
  <si>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</si>
  <si>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</si>
  <si>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</si>
  <si>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</si>
  <si>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</si>
  <si>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</si>
  <si>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</si>
  <si>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</si>
  <si>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</si>
  <si>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</si>
  <si>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</si>
  <si>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</si>
  <si>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</si>
  <si>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</si>
  <si>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</si>
  <si>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</si>
  <si>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</si>
  <si>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</si>
  <si>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</si>
  <si>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</si>
  <si>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</si>
  <si>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</si>
  <si>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</si>
  <si>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</si>
  <si>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</si>
  <si>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</si>
  <si>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</si>
  <si>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</si>
  <si>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</si>
  <si>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</si>
  <si>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</si>
  <si>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</si>
  <si>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</si>
  <si>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</si>
  <si>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</si>
  <si>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</si>
  <si>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</si>
  <si>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</si>
  <si>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</si>
  <si>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</si>
  <si>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</si>
  <si>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</si>
  <si>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</si>
  <si>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</si>
  <si>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</si>
  <si>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</si>
  <si>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</si>
  <si>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</si>
  <si>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</si>
  <si>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</si>
  <si>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</si>
  <si>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</si>
  <si>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</si>
  <si>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</si>
  <si>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</si>
  <si>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</si>
  <si>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</si>
  <si>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</si>
  <si>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</si>
  <si>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</si>
  <si>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</si>
  <si>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</si>
  <si>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</si>
  <si>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</si>
  <si>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</si>
  <si>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</si>
  <si>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</si>
  <si>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</si>
  <si>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</si>
  <si>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</si>
  <si>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</si>
  <si>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</si>
  <si>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</si>
  <si>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</si>
  <si>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</si>
  <si>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</si>
  <si>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</si>
  <si>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</si>
  <si>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</si>
  <si>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</si>
  <si>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</si>
  <si>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</si>
  <si>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</si>
  <si>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</si>
  <si>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</si>
  <si>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</si>
  <si>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</si>
  <si>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</si>
  <si>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</si>
  <si>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</si>
  <si>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</si>
  <si>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</si>
  <si>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</si>
  <si>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</si>
  <si>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</si>
  <si>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</si>
  <si>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</si>
  <si>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</si>
  <si>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</si>
  <si>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</si>
  <si>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</si>
  <si>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</si>
  <si>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</si>
  <si>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</si>
  <si>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</si>
  <si>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</si>
  <si>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</si>
  <si>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</si>
  <si>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</si>
  <si>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</si>
  <si>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</si>
  <si>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</si>
  <si>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</si>
  <si>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</si>
  <si>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</si>
  <si>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</si>
  <si>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</si>
  <si>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</si>
  <si>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</si>
  <si>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</si>
  <si>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</si>
  <si>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</si>
  <si>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</si>
  <si>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</si>
  <si>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</si>
  <si>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</si>
  <si>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</si>
  <si>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</si>
  <si>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</si>
  <si>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</si>
  <si>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</si>
  <si>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</si>
  <si>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</si>
  <si>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</si>
  <si>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</si>
  <si>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</si>
  <si>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</si>
  <si>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</si>
  <si>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</si>
  <si>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</si>
  <si>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</si>
  <si>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</si>
  <si>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</si>
  <si>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</si>
  <si>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</si>
  <si>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</si>
  <si>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</si>
  <si>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</si>
  <si>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</si>
  <si>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</si>
  <si>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</si>
  <si>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</si>
  <si>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</si>
  <si>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</si>
  <si>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</si>
  <si>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</si>
  <si>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</si>
  <si>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</si>
  <si>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</si>
  <si>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</si>
  <si>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</si>
  <si>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</si>
  <si>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</si>
  <si>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</si>
  <si>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</si>
  <si>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</si>
  <si>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</si>
  <si>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</si>
  <si>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</si>
  <si>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</si>
  <si>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</si>
  <si>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</si>
  <si>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</si>
  <si>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</si>
  <si>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</si>
  <si>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</si>
  <si>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</si>
  <si>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</si>
  <si>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</si>
  <si>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</si>
  <si>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</si>
  <si>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</si>
  <si>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</si>
  <si>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</si>
  <si>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</si>
  <si>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</si>
  <si>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</si>
  <si>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</si>
  <si>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</si>
  <si>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</si>
  <si>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</si>
  <si>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</si>
  <si>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</si>
  <si>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</si>
  <si>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</si>
  <si>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</si>
  <si>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</si>
  <si>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</si>
  <si>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</si>
  <si>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</si>
  <si>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</si>
  <si>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</si>
  <si>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</si>
  <si>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</si>
  <si>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</si>
  <si>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</si>
  <si>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</si>
  <si>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</si>
  <si>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</si>
  <si>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</si>
  <si>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</si>
  <si>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</si>
  <si>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</si>
  <si>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</si>
  <si>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</si>
  <si>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</si>
  <si>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</si>
  <si>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</si>
  <si>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</si>
  <si>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</si>
  <si>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</si>
  <si>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</si>
  <si>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</si>
  <si>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</si>
  <si>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</si>
  <si>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</si>
  <si>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</si>
  <si>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</si>
  <si>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</si>
  <si>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</si>
  <si>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</si>
  <si>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</si>
  <si>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</si>
  <si>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</si>
  <si>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</si>
  <si>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</si>
  <si>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</si>
  <si>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</si>
  <si>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</si>
  <si>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</si>
  <si>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</si>
  <si>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</si>
  <si>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</si>
  <si>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</si>
  <si>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</si>
  <si>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</si>
  <si>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</si>
  <si>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</si>
  <si>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</si>
  <si>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</si>
  <si>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</si>
  <si>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</si>
  <si>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</si>
  <si>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</si>
  <si>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</si>
  <si>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</si>
  <si>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</si>
  <si>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</si>
  <si>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</si>
  <si>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</si>
  <si>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</si>
  <si>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</si>
  <si>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</si>
  <si>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</si>
  <si>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</si>
  <si>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</si>
  <si>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</si>
  <si>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</si>
  <si>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</si>
  <si>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</si>
  <si>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</si>
  <si>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</si>
  <si>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</si>
  <si>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</si>
  <si>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</si>
  <si>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</si>
  <si>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</si>
  <si>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</si>
  <si>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</si>
  <si>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</si>
  <si>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</si>
  <si>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</si>
  <si>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</si>
  <si>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</si>
  <si>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</si>
  <si>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</si>
  <si>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</si>
  <si>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</si>
  <si>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</si>
  <si>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</si>
  <si>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</si>
  <si>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</si>
  <si>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</si>
  <si>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</si>
  <si>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</si>
  <si>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</si>
  <si>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</si>
  <si>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</si>
  <si>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</si>
  <si>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</si>
  <si>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</si>
  <si>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</si>
  <si>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</si>
  <si>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</si>
  <si>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</si>
  <si>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</si>
  <si>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</si>
  <si>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</si>
  <si>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</si>
  <si>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</si>
  <si>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</si>
  <si>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</si>
  <si>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</si>
  <si>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</si>
  <si>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</si>
  <si>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</si>
  <si>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</si>
  <si>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</si>
  <si>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</si>
  <si>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</si>
  <si>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</si>
  <si>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</si>
  <si>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</si>
  <si>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</si>
  <si>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</si>
  <si>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</si>
  <si>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</si>
  <si>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</si>
  <si>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</si>
  <si>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</si>
  <si>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</si>
  <si>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</si>
  <si>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</si>
  <si>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</si>
  <si>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</si>
  <si>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</si>
  <si>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</si>
  <si>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</si>
  <si>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</si>
  <si>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</si>
  <si>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</si>
  <si>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</si>
  <si>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</si>
  <si>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</si>
  <si>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</si>
  <si>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</si>
  <si>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</si>
  <si>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</si>
  <si>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</si>
  <si>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</si>
  <si>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</si>
  <si>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</si>
  <si>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</si>
  <si>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</si>
  <si>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</si>
  <si>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</si>
  <si>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</si>
  <si>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</si>
  <si>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</si>
  <si>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</si>
  <si>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</si>
  <si>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</si>
  <si>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</si>
  <si>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</si>
  <si>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</si>
  <si>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</si>
  <si>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</si>
  <si>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</si>
  <si>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</si>
  <si>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</si>
  <si>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</si>
  <si>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</si>
  <si>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</si>
  <si>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</si>
  <si>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</si>
  <si>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</si>
  <si>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</si>
  <si>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</si>
  <si>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</si>
  <si>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</si>
  <si>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</si>
  <si>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</si>
  <si>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</si>
  <si>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</si>
  <si>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</si>
  <si>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</si>
  <si>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</si>
  <si>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</si>
  <si>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</si>
  <si>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</si>
  <si>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</si>
  <si>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</si>
  <si>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</si>
  <si>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</si>
  <si>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</si>
  <si>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</si>
  <si>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</si>
  <si>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</si>
  <si>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</si>
  <si>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</si>
  <si>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</si>
  <si>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</si>
  <si>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</si>
  <si>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</si>
  <si>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</si>
  <si>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</si>
  <si>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</si>
  <si>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</si>
  <si>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</si>
  <si>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</si>
  <si>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</si>
  <si>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</si>
  <si>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</si>
  <si>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</si>
  <si>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</si>
  <si>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</si>
  <si>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</si>
  <si>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</si>
  <si>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</si>
  <si>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</si>
  <si>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</si>
  <si>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</si>
  <si>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</si>
  <si>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</si>
  <si>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</si>
  <si>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</si>
  <si>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</si>
  <si>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</si>
  <si>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</si>
  <si>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</si>
  <si>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</si>
  <si>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</si>
  <si>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</si>
  <si>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</si>
  <si>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</si>
  <si>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</si>
  <si>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</si>
  <si>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</si>
  <si>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</si>
  <si>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</si>
  <si>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</si>
  <si>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</si>
  <si>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</si>
  <si>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</si>
  <si>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</si>
  <si>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</si>
  <si>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</si>
  <si>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</si>
  <si>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</si>
  <si>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</si>
  <si>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</si>
  <si>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</si>
  <si>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</si>
  <si>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</si>
  <si>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</si>
  <si>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</si>
  <si>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</si>
  <si>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</si>
  <si>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</si>
  <si>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</si>
  <si>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</si>
  <si>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</si>
  <si>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</si>
  <si>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</si>
  <si>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</si>
  <si>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</si>
  <si>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</si>
  <si>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</si>
  <si>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</si>
  <si>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</si>
  <si>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</si>
  <si>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</si>
  <si>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</si>
  <si>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</si>
  <si>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</si>
  <si>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</si>
  <si>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</si>
  <si>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</si>
  <si>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</si>
  <si>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</si>
  <si>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</si>
  <si>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</si>
  <si>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</si>
  <si>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</si>
  <si>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</si>
  <si>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</si>
  <si>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</si>
  <si>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</si>
  <si>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</si>
  <si>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</si>
  <si>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</si>
  <si>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</si>
  <si>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</si>
  <si>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</si>
  <si>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</si>
  <si>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</si>
  <si>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</si>
  <si>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</si>
  <si>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</si>
  <si>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</si>
  <si>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</si>
  <si>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</si>
  <si>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</si>
  <si>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</si>
  <si>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</si>
  <si>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</si>
  <si>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</si>
  <si>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</si>
  <si>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</si>
  <si>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</si>
  <si>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</si>
  <si>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</si>
  <si>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</si>
  <si>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</si>
  <si>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</si>
  <si>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</si>
  <si>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</si>
  <si>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</si>
  <si>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</si>
  <si>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</si>
  <si>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</si>
  <si>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</si>
  <si>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</si>
  <si>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</si>
  <si>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</si>
  <si>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</si>
  <si>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</si>
  <si>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</si>
  <si>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</si>
  <si>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</si>
  <si>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</si>
  <si>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</si>
  <si>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</si>
  <si>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</si>
  <si>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</si>
  <si>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</si>
  <si>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</si>
  <si>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</si>
  <si>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</si>
  <si>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</si>
  <si>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</si>
  <si>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</si>
  <si>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</si>
  <si>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</si>
  <si>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</si>
  <si>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</si>
  <si>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</si>
  <si>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</si>
  <si>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</si>
  <si>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</si>
  <si>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</si>
  <si>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</si>
  <si>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</si>
  <si>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</si>
  <si>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</si>
  <si>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</si>
  <si>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</si>
  <si>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</si>
  <si>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</si>
  <si>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</si>
  <si>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</si>
  <si>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</si>
  <si>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</si>
  <si>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</si>
  <si>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</si>
  <si>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</si>
  <si>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</si>
  <si>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</si>
  <si>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</si>
  <si>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</si>
  <si>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</si>
  <si>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</si>
  <si>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</si>
  <si>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</si>
  <si>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</si>
  <si>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</si>
  <si>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</si>
  <si>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</si>
  <si>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</si>
  <si>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</si>
  <si>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</si>
  <si>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</si>
  <si>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</si>
  <si>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</si>
  <si>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</si>
  <si>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</si>
  <si>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</si>
  <si>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</si>
  <si>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</si>
  <si>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</si>
  <si>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</si>
  <si>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</si>
  <si>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</si>
  <si>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</si>
  <si>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</si>
  <si>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</si>
  <si>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</si>
  <si>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</si>
  <si>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</si>
  <si>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</si>
  <si>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</si>
  <si>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</si>
  <si>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</si>
  <si>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</si>
  <si>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</si>
  <si>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</si>
  <si>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</si>
  <si>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</si>
  <si>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</si>
  <si>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</si>
  <si>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</si>
  <si>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</si>
  <si>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</si>
  <si>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</si>
  <si>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</si>
  <si>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</si>
  <si>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</si>
  <si>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</si>
  <si>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</si>
  <si>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</si>
  <si>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</si>
  <si>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</si>
  <si>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</si>
  <si>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</si>
  <si>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</si>
  <si>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</si>
  <si>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</si>
  <si>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</si>
  <si>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</si>
  <si>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</si>
  <si>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</si>
  <si>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</si>
  <si>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</si>
  <si>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</si>
  <si>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</si>
  <si>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</si>
  <si>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</si>
  <si>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</si>
  <si>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</si>
  <si>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</si>
  <si>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</si>
  <si>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</si>
  <si>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</si>
  <si>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</si>
  <si>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</si>
  <si>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</si>
  <si>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</si>
  <si>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</si>
  <si>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</si>
  <si>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</si>
  <si>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</si>
  <si>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</si>
  <si>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</si>
  <si>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</si>
  <si>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</si>
  <si>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</si>
  <si>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</si>
  <si>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</si>
  <si>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</si>
  <si>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</si>
  <si>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</si>
  <si>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</si>
  <si>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</si>
  <si>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</si>
  <si>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</si>
  <si>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</si>
  <si>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</si>
  <si>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</si>
  <si>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</si>
  <si>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</si>
  <si>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</si>
  <si>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</si>
  <si>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</si>
  <si>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</si>
  <si>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</si>
  <si>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</si>
  <si>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</si>
  <si>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</si>
  <si>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</si>
  <si>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</si>
  <si>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</si>
  <si>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</si>
  <si>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</si>
  <si>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</si>
  <si>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</si>
  <si>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</si>
  <si>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</si>
  <si>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</si>
  <si>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</si>
  <si>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</si>
  <si>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</si>
  <si>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</si>
  <si>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</si>
  <si>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</si>
  <si>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</si>
  <si>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</si>
  <si>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</si>
  <si>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</si>
  <si>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</si>
  <si>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</si>
  <si>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</si>
  <si>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</si>
  <si>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</si>
  <si>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</si>
  <si>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</si>
  <si>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</si>
  <si>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</si>
  <si>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</si>
  <si>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</si>
  <si>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</si>
  <si>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</si>
  <si>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</si>
  <si>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</si>
  <si>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</si>
  <si>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</si>
  <si>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</si>
  <si>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</si>
  <si>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</si>
  <si>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</si>
  <si>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</si>
  <si>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</si>
  <si>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</si>
  <si>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</si>
  <si>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</si>
  <si>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</si>
  <si>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</si>
  <si>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</si>
  <si>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</si>
  <si>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</si>
  <si>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</si>
  <si>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</si>
  <si>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</si>
  <si>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</si>
  <si>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</si>
  <si>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</si>
  <si>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</si>
  <si>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</si>
  <si>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</si>
  <si>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</si>
  <si>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</si>
  <si>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</si>
  <si>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</si>
  <si>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</si>
  <si>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</si>
  <si>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</si>
  <si>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</si>
  <si>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</si>
  <si>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</si>
  <si>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</si>
  <si>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</si>
  <si>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</si>
  <si>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</si>
  <si>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</si>
  <si>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</si>
  <si>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</si>
  <si>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</si>
  <si>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</si>
  <si>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</si>
  <si>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</si>
  <si>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</si>
  <si>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</si>
  <si>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</si>
  <si>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</si>
  <si>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</si>
  <si>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</si>
  <si>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</si>
  <si>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</si>
  <si>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</si>
  <si>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</si>
  <si>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</si>
  <si>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</si>
  <si>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</si>
  <si>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</si>
  <si>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</si>
  <si>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</si>
  <si>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</si>
  <si>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</si>
  <si>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</si>
  <si>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</si>
  <si>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</si>
  <si>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</si>
  <si>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</si>
  <si>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</si>
  <si>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</si>
  <si>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</si>
  <si>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</si>
  <si>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</si>
  <si>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</si>
  <si>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</si>
  <si>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</si>
  <si>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</si>
  <si>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</si>
  <si>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</si>
  <si>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</si>
  <si>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</si>
  <si>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</si>
  <si>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</si>
  <si>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</si>
  <si>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</si>
  <si>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</si>
  <si>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</si>
  <si>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</si>
  <si>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</si>
  <si>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</si>
  <si>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</si>
  <si>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</si>
  <si>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</si>
  <si>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</si>
  <si>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</si>
  <si>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</si>
  <si>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</si>
  <si>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</si>
  <si>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</si>
  <si>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</si>
  <si>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</si>
  <si>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</si>
  <si>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</si>
  <si>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</si>
  <si>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</si>
  <si>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</si>
  <si>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</si>
  <si>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</si>
  <si>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</si>
  <si>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</si>
  <si>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</si>
  <si>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</si>
  <si>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</si>
  <si>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</si>
  <si>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</si>
  <si>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</si>
  <si>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</si>
  <si>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</si>
  <si>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</si>
  <si>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</si>
  <si>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</si>
  <si>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</si>
  <si>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</si>
  <si>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</si>
  <si>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</si>
  <si>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</si>
  <si>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</si>
  <si>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</si>
  <si>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</si>
  <si>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</si>
  <si>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</si>
  <si>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</si>
  <si>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</si>
  <si>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</si>
  <si>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</si>
  <si>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</si>
  <si>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</si>
  <si>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</si>
  <si>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</si>
  <si>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</si>
  <si>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</si>
  <si>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</si>
  <si>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</si>
  <si>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</si>
  <si>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</si>
  <si>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</si>
  <si>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</si>
  <si>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</si>
  <si>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</si>
  <si>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</si>
  <si>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</si>
  <si>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</si>
  <si>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</si>
  <si>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</si>
  <si>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</si>
  <si>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</si>
  <si>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</si>
  <si>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</si>
  <si>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</si>
  <si>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</si>
  <si>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</si>
  <si>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</si>
  <si>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</si>
  <si>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</si>
  <si>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</si>
  <si>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</si>
  <si>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</si>
  <si>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</si>
  <si>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</si>
  <si>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</si>
  <si>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</si>
  <si>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</si>
  <si>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</si>
  <si>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</si>
  <si>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</si>
  <si>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</si>
  <si>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</si>
  <si>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</si>
  <si>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</si>
  <si>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</si>
  <si>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</si>
  <si>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</si>
  <si>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</si>
  <si>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</si>
  <si>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</si>
  <si>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</si>
  <si>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</si>
  <si>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</si>
  <si>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</si>
  <si>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</si>
  <si>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</si>
  <si>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</si>
  <si>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</si>
  <si>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</si>
  <si>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</si>
  <si>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</si>
  <si>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</si>
  <si>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</si>
  <si>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</si>
  <si>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</si>
  <si>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</si>
  <si>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</si>
  <si>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</si>
  <si>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</si>
  <si>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</si>
  <si>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</si>
  <si>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</si>
  <si>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</si>
  <si>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</si>
  <si>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</si>
  <si>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</si>
  <si>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</si>
  <si>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</si>
  <si>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</si>
  <si>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</si>
  <si>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</si>
  <si>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</si>
  <si>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</si>
  <si>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</si>
  <si>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</si>
  <si>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</si>
  <si>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</si>
  <si>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</si>
  <si>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</si>
  <si>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</si>
  <si>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</si>
  <si>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</si>
  <si>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</si>
  <si>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</si>
  <si>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</si>
  <si>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</si>
  <si>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</si>
  <si>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</si>
  <si>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</si>
  <si>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</si>
  <si>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</si>
  <si>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</si>
  <si>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</si>
  <si>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</si>
  <si>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</si>
  <si>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</si>
  <si>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</si>
  <si>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</si>
  <si>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</si>
  <si>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</si>
  <si>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</si>
  <si>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</si>
  <si>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</si>
  <si>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</si>
  <si>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</si>
  <si>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</si>
  <si>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</si>
  <si>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</si>
  <si>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</si>
  <si>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</si>
  <si>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</si>
  <si>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</si>
  <si>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</si>
  <si>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</si>
  <si>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</si>
  <si>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</si>
  <si>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</si>
  <si>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</si>
  <si>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</si>
  <si>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</si>
  <si>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</si>
  <si>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</si>
  <si>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</si>
  <si>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</si>
  <si>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</si>
  <si>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</si>
  <si>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</si>
  <si>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</si>
  <si>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</si>
  <si>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</si>
  <si>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</si>
  <si>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</si>
  <si>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</si>
  <si>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</si>
  <si>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</si>
  <si>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</si>
  <si>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</si>
  <si>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</si>
  <si>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</si>
  <si>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</si>
  <si>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</si>
  <si>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</si>
  <si>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</si>
  <si>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</si>
  <si>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</si>
  <si>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</si>
  <si>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</si>
  <si>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</si>
  <si>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</si>
  <si>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</si>
  <si>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</si>
  <si>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</si>
  <si>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</si>
  <si>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</si>
  <si>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</si>
  <si>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</si>
  <si>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</si>
  <si>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</si>
  <si>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</si>
  <si>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</si>
  <si>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</si>
  <si>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</si>
  <si>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</si>
  <si>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</si>
  <si>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</si>
  <si>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</si>
  <si>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</si>
  <si>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</si>
  <si>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</si>
  <si>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</si>
  <si>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</si>
  <si>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</si>
  <si>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</si>
  <si>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</si>
  <si>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</si>
  <si>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</si>
  <si>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</si>
  <si>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</si>
  <si>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</si>
  <si>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</si>
  <si>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</si>
  <si>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</si>
  <si>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</si>
  <si>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</si>
  <si>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</si>
  <si>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</si>
  <si>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</si>
  <si>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</si>
  <si>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</si>
  <si>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</si>
  <si>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</si>
  <si>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</si>
  <si>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</si>
  <si>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</si>
  <si>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</si>
  <si>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</si>
  <si>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</si>
  <si>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</si>
  <si>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</si>
  <si>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</si>
  <si>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</si>
  <si>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</si>
  <si>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</si>
  <si>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</si>
  <si>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</si>
  <si>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</si>
  <si>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</si>
  <si>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</si>
  <si>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</si>
  <si>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</si>
  <si>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</si>
  <si>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</si>
  <si>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</si>
  <si>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</si>
  <si>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</si>
  <si>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</si>
  <si>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</si>
  <si>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</si>
  <si>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</si>
  <si>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</si>
  <si>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</si>
  <si>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</si>
  <si>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</si>
  <si>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</si>
  <si>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</si>
  <si>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</si>
  <si>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</si>
  <si>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</si>
  <si>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</si>
  <si>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</si>
  <si>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</si>
  <si>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</si>
  <si>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</si>
  <si>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</si>
  <si>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</si>
  <si>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</si>
  <si>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</si>
  <si>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</si>
  <si>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</si>
  <si>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</si>
  <si>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</si>
  <si>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</si>
  <si>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</si>
  <si>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</si>
  <si>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</si>
  <si>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</si>
  <si>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</si>
  <si>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</si>
  <si>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</si>
  <si>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</si>
  <si>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</si>
  <si>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</si>
  <si>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</si>
  <si>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</si>
  <si>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</si>
  <si>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</si>
  <si>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</si>
  <si>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</si>
  <si>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</si>
  <si>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</si>
  <si>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</si>
  <si>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</si>
  <si>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</si>
  <si>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</si>
  <si>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</si>
  <si>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</si>
  <si>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</si>
  <si>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</si>
  <si>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</si>
  <si>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</si>
  <si>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</si>
  <si>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</si>
  <si>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</si>
  <si>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</si>
  <si>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</si>
  <si>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</si>
  <si>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</si>
  <si>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</si>
  <si>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</si>
  <si>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</si>
  <si>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</si>
  <si>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</si>
  <si>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</si>
  <si>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</si>
  <si>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</si>
  <si>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</si>
  <si>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</si>
  <si>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</si>
  <si>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</si>
  <si>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</si>
  <si>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</si>
  <si>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</si>
  <si>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</si>
  <si>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</si>
  <si>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</si>
  <si>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</si>
  <si>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</si>
  <si>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</si>
  <si>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</si>
  <si>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</si>
  <si>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</si>
  <si>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</si>
  <si>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</si>
  <si>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</si>
  <si>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</si>
  <si>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</si>
  <si>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</si>
  <si>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</si>
  <si>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</si>
  <si>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</si>
  <si>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</si>
  <si>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</si>
  <si>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</si>
  <si>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</si>
  <si>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</si>
  <si>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</si>
  <si>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</si>
  <si>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</si>
  <si>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</si>
  <si>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</si>
  <si>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</si>
  <si>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</si>
  <si>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</si>
  <si>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</si>
  <si>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</si>
  <si>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</si>
  <si>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</si>
  <si>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</si>
  <si>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</si>
  <si>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</si>
  <si>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</si>
  <si>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</si>
  <si>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</si>
  <si>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</si>
  <si>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</si>
  <si>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</si>
  <si>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</si>
  <si>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</si>
  <si>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</si>
  <si>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</si>
  <si>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</si>
  <si>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</si>
  <si>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</si>
  <si>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</si>
  <si>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</si>
  <si>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</si>
  <si>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</si>
  <si>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</si>
  <si>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</si>
  <si>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</si>
  <si>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</si>
  <si>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</si>
  <si>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</si>
  <si>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</si>
  <si>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</si>
  <si>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</si>
  <si>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</si>
  <si>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</si>
  <si>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</si>
  <si>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</si>
  <si>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</si>
  <si>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</si>
  <si>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</si>
  <si>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</si>
  <si>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</si>
  <si>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</si>
  <si>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</si>
  <si>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</si>
  <si>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</si>
  <si>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</si>
  <si>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</si>
  <si>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</si>
  <si>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</si>
  <si>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</si>
  <si>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</si>
  <si>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</si>
  <si>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</si>
  <si>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</si>
  <si>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</si>
  <si>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</si>
  <si>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</si>
  <si>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</si>
  <si>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</si>
  <si>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</si>
  <si>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</si>
  <si>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</si>
  <si>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</si>
  <si>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</si>
  <si>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</si>
  <si>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</si>
  <si>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</si>
  <si>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</si>
  <si>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</si>
  <si>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</si>
  <si>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</si>
  <si>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</si>
  <si>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</si>
  <si>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</si>
  <si>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</si>
  <si>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</si>
  <si>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</si>
  <si>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</si>
  <si>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</si>
  <si>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</si>
  <si>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</si>
  <si>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</si>
  <si>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</si>
  <si>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</si>
  <si>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</si>
  <si>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</si>
  <si>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</si>
  <si>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</si>
  <si>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</si>
  <si>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</si>
  <si>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</si>
  <si>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</si>
  <si>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</si>
  <si>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</si>
  <si>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</si>
  <si>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</si>
  <si>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</si>
  <si>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</si>
  <si>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</si>
  <si>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</si>
  <si>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</si>
  <si>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</si>
  <si>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</si>
  <si>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</si>
  <si>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</si>
  <si>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</si>
  <si>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</si>
  <si>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</si>
  <si>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</si>
  <si>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</si>
  <si>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</si>
  <si>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</si>
  <si>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</si>
  <si>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</si>
  <si>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</si>
  <si>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</si>
  <si>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</si>
  <si>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</si>
  <si>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</si>
  <si>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</si>
  <si>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</si>
  <si>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</si>
  <si>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</si>
  <si>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</si>
  <si>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</si>
  <si>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</si>
  <si>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</si>
  <si>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</si>
  <si>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</si>
  <si>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</si>
  <si>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</si>
  <si>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</si>
  <si>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</si>
  <si>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</si>
  <si>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</si>
  <si>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</si>
  <si>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</si>
  <si>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</si>
  <si>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</si>
  <si>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</si>
  <si>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</si>
  <si>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</si>
  <si>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</si>
  <si>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</si>
  <si>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</si>
  <si>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</si>
  <si>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</si>
  <si>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</si>
  <si>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</si>
  <si>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</si>
  <si>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</si>
  <si>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</si>
  <si>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</si>
  <si>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</si>
  <si>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</si>
  <si>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</si>
  <si>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</si>
  <si>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</si>
  <si>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</si>
  <si>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</si>
  <si>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</si>
  <si>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</si>
  <si>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</si>
  <si>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</si>
  <si>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</si>
  <si>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</si>
  <si>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</si>
  <si>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</si>
  <si>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</si>
  <si>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</si>
  <si>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</si>
  <si>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</si>
  <si>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</si>
  <si>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</si>
  <si>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</si>
  <si>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</si>
  <si>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</si>
  <si>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</si>
  <si>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</si>
  <si>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</si>
  <si>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</si>
  <si>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</si>
  <si>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</si>
  <si>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</si>
  <si>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</si>
  <si>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</si>
  <si>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</si>
  <si>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</si>
  <si>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</si>
  <si>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</si>
  <si>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</si>
  <si>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</si>
  <si>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</si>
  <si>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</si>
  <si>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</si>
  <si>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</si>
  <si>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</si>
  <si>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</si>
  <si>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</si>
  <si>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</si>
  <si>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</si>
  <si>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</si>
  <si>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</si>
  <si>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</si>
  <si>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</si>
  <si>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</si>
  <si>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</si>
  <si>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</si>
  <si>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</si>
  <si>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</si>
  <si>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</si>
  <si>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</si>
  <si>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</si>
  <si>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</si>
  <si>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</si>
  <si>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</si>
  <si>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</si>
  <si>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</si>
  <si>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</si>
  <si>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</si>
  <si>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</si>
  <si>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</si>
  <si>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</si>
  <si>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</si>
  <si>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</si>
  <si>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</si>
  <si>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</si>
  <si>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</si>
  <si>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</si>
  <si>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</si>
  <si>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</si>
  <si>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</si>
  <si>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</si>
  <si>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</si>
  <si>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</si>
  <si>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</si>
  <si>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</si>
  <si>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</si>
  <si>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</si>
  <si>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</si>
  <si>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</si>
  <si>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</si>
  <si>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</si>
  <si>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</si>
  <si>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</si>
  <si>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</si>
  <si>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</si>
  <si>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</si>
  <si>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</si>
  <si>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</si>
  <si>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</si>
  <si>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</si>
  <si>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</si>
  <si>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</si>
  <si>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</si>
  <si>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</si>
  <si>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</si>
  <si>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</si>
  <si>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</si>
  <si>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</si>
  <si>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</si>
  <si>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</si>
  <si>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</si>
  <si>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</si>
  <si>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</si>
  <si>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</si>
  <si>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</si>
  <si>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</si>
  <si>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</si>
  <si>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</si>
  <si>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</si>
  <si>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</si>
  <si>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</si>
  <si>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</si>
  <si>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</si>
  <si>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</si>
  <si>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</si>
  <si>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</si>
  <si>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</si>
  <si>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</si>
  <si>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</si>
  <si>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</si>
  <si>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</si>
  <si>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</si>
  <si>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</si>
  <si>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</si>
  <si>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</si>
  <si>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</si>
  <si>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</si>
  <si>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</si>
  <si>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</si>
  <si>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</si>
  <si>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</si>
  <si>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</si>
  <si>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</si>
  <si>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</si>
  <si>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</si>
  <si>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</si>
  <si>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</si>
  <si>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</si>
  <si>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RIU FERRER</t>
  </si>
  <si>
    <t xml:space="preserve">Arles sur Tech</t>
  </si>
  <si>
    <t xml:space="preserve">06166990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</si>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</sst>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J6" activeCellId="0" sqref="J6"/>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12.2727272727273</v>
      </c>
      <c r="M5" s="323"/>
      <c r="N5" s="324" t="s">
        <v>670</v>
      </c>
      <c r="O5" s="325" t="n">
        <v>11.6666666666667</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9.92857142857143</v>
      </c>
      <c r="O8" s="354" t="n">
        <f aca="false">IF(ISERROR(AVERAGE(J23:J82)),"      -",AVERAGE(J23:J82))</f>
        <v>1.5</v>
      </c>
      <c r="P8" s="355"/>
      <c r="Q8" s="280"/>
      <c r="R8" s="280"/>
      <c r="S8" s="280"/>
      <c r="T8" s="280"/>
      <c r="U8" s="280"/>
      <c r="V8" s="280"/>
      <c r="W8" s="292"/>
      <c r="X8" s="293"/>
    </row>
    <row r="9" customFormat="false" ht="13.5" hidden="false" customHeight="false" outlineLevel="0" collapsed="false">
      <c r="A9" s="313" t="s">
        <v>2634</v>
      </c>
      <c r="B9" s="356" t="n">
        <v>2.7</v>
      </c>
      <c r="C9" s="357"/>
      <c r="D9" s="358"/>
      <c r="E9" s="358"/>
      <c r="F9" s="359" t="n">
        <f aca="false">($B9*$B$7+$C9*$C$7)/100</f>
        <v>2.7</v>
      </c>
      <c r="G9" s="360"/>
      <c r="H9" s="361"/>
      <c r="I9" s="362"/>
      <c r="J9" s="363"/>
      <c r="K9" s="343"/>
      <c r="L9" s="364"/>
      <c r="M9" s="353" t="s">
        <v>2635</v>
      </c>
      <c r="N9" s="354" t="n">
        <f aca="false">IF(ISERROR(STDEVP(I23:I82)),"     -",STDEVP(I23:I82))</f>
        <v>4.65164004433284</v>
      </c>
      <c r="O9" s="354" t="n">
        <f aca="false">IF(ISERROR(STDEVP(J23:J82)),"      -",STDEVP(J23:J82))</f>
        <v>0.7319250547114</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8</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5</v>
      </c>
      <c r="L13" s="386"/>
      <c r="M13" s="397" t="s">
        <v>2647</v>
      </c>
      <c r="N13" s="398" t="n">
        <f aca="false">COUNTIF(F23:F82,"&gt;0")</f>
        <v>14</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14</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v>
      </c>
      <c r="L15" s="386"/>
      <c r="M15" s="407" t="s">
        <v>2653</v>
      </c>
      <c r="N15" s="408" t="n">
        <f aca="false">COUNTIF(J23:J82,"=1")</f>
        <v>6</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6</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2.7</v>
      </c>
      <c r="C20" s="436" t="n">
        <f aca="false">SUM(C23:C82)</f>
        <v>0</v>
      </c>
      <c r="D20" s="437"/>
      <c r="E20" s="438" t="s">
        <v>2659</v>
      </c>
      <c r="F20" s="439" t="n">
        <f aca="false">($B20*$B$7+$C20*$C$7)/100</f>
        <v>2.7</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2.7</v>
      </c>
      <c r="C21" s="449" t="n">
        <f aca="false">C20*C7/100</f>
        <v>0</v>
      </c>
      <c r="D21" s="381" t="str">
        <f aca="false">IF(F21=0,"",IF((ABS(F21-F19))&gt;(0.2*F21),CONCATENATE(" rec. par taxa (",F21," %) supérieur à 20 % !"),""))</f>
        <v> rec. par taxa (2,7 %) supérieur à 20 % !</v>
      </c>
      <c r="E21" s="450" t="str">
        <f aca="false">IF(F21=0,"",IF((ABS(F21-F19))&gt;(0.2*F21),CONCATENATE("ATTENTION : écart entre rec. par grp (",F19," %) ","et",""),""))</f>
        <v>ATTENTION : écart entre rec. par grp (0 %) et</v>
      </c>
      <c r="F21" s="451" t="n">
        <f aca="false">B21+C21</f>
        <v>2.7</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0.01</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0.01</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0.01</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142</v>
      </c>
      <c r="B24" s="494" t="n">
        <v>0.7</v>
      </c>
      <c r="C24" s="495"/>
      <c r="D24" s="477" t="str">
        <f aca="false">IF(ISERROR(VLOOKUP($A24,'liste reference'!$A$7:$D$904,2,0)),IF(ISERROR(VLOOKUP($A24,'liste reference'!$B$7:$D$904,1,0)),"",VLOOKUP($A24,'liste reference'!$B$7:$D$904,1,0)),VLOOKUP($A24,'liste reference'!$A$7:$D$904,2,0))</f>
        <v>Hildenbrandia sp.</v>
      </c>
      <c r="E24" s="496" t="e">
        <f aca="false">IF(D24="",0,VLOOKUP(D24,D$22:D23,1,0))</f>
        <v>#N/A</v>
      </c>
      <c r="F24" s="497" t="n">
        <f aca="false">($B24*$B$7+$C24*$C$7)/100</f>
        <v>0.7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1157</v>
      </c>
      <c r="Q24" s="486" t="n">
        <f aca="false">IF(ISTEXT(H24),"",(B24*$B$7/100)+(C24*$C$7/100))</f>
        <v>0.7</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Y24" s="490" t="str">
        <f aca="false">IF(A24="new.cod","NEWCOD",IF(AND((Z24=""),ISTEXT(A24)),A24,IF(Z24="","",INDEX('liste reference'!$A$8:$A$904,Z24))))</f>
        <v>HILSPX</v>
      </c>
      <c r="Z24" s="280" t="n">
        <f aca="false">IF(ISERROR(MATCH(A24,'liste reference'!$A$8:$A$904,0)),IF(ISERROR(MATCH(A24,'liste reference'!$B$8:$B$904,0)),"",(MATCH(A24,'liste reference'!$B$8:$B$904,0))),(MATCH(A24,'liste reference'!$A$8:$A$904,0)))</f>
        <v>30</v>
      </c>
      <c r="AA24" s="491"/>
      <c r="AB24" s="492"/>
      <c r="AC24" s="492"/>
      <c r="BB24" s="280" t="n">
        <f aca="false">IF(A24="","",1)</f>
        <v>1</v>
      </c>
    </row>
    <row r="25" customFormat="false" ht="12.75" hidden="false" customHeight="false" outlineLevel="0" collapsed="false">
      <c r="A25" s="493" t="s">
        <v>154</v>
      </c>
      <c r="B25" s="494" t="n">
        <v>0.35</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0.35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0.35</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X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220</v>
      </c>
      <c r="B26" s="494" t="n">
        <v>0.2</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0.2</v>
      </c>
      <c r="R26" s="487" t="n">
        <f aca="false">IF(OR(ISTEXT(H26),Q26=0),"",IF(Q26&lt;0.1,1,IF(Q26&lt;1,2,IF(Q26&lt;10,3,IF(Q26&lt;50,4,IF(Q26&gt;=50,5,""))))))</f>
        <v>2</v>
      </c>
      <c r="S26" s="487" t="n">
        <f aca="false">IF(ISERROR(R26*I26),0,R26*I26)</f>
        <v>18</v>
      </c>
      <c r="T26" s="487" t="n">
        <f aca="false">IF(ISERROR(R26*I26*J26),0,R26*I26*J26)</f>
        <v>18</v>
      </c>
      <c r="U26" s="499" t="n">
        <f aca="false">IF(ISERROR(R26*J26),0,R26*J26)</f>
        <v>2</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c r="AB27" s="492"/>
      <c r="AC27" s="492"/>
      <c r="BB27" s="280" t="n">
        <f aca="false">IF(A27="","",1)</f>
        <v>1</v>
      </c>
    </row>
    <row r="28" customFormat="false" ht="12.75" hidden="false" customHeight="false" outlineLevel="0" collapsed="false">
      <c r="A28" s="493" t="s">
        <v>241</v>
      </c>
      <c r="B28" s="494" t="n">
        <v>0.005</v>
      </c>
      <c r="C28" s="495"/>
      <c r="D28" s="477" t="str">
        <f aca="false">IF(ISERROR(VLOOKUP($A28,'liste reference'!$A$7:$D$904,2,0)),IF(ISERROR(VLOOKUP($A28,'liste reference'!$B$7:$D$904,1,0)),"",VLOOKUP($A28,'liste reference'!$B$7:$D$904,1,0)),VLOOKUP($A28,'liste reference'!$A$7:$D$904,2,0))</f>
        <v>Rhizoclonium sp.</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Rhizoclonium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1125</v>
      </c>
      <c r="Q28" s="486" t="n">
        <f aca="false">IF(ISTEXT(H28),"",(B28*$B$7/100)+(C28*$C$7/100))</f>
        <v>0.005</v>
      </c>
      <c r="R28" s="487" t="n">
        <f aca="false">IF(OR(ISTEXT(H28),Q28=0),"",IF(Q28&lt;0.1,1,IF(Q28&lt;1,2,IF(Q28&lt;10,3,IF(Q28&lt;50,4,IF(Q28&gt;=50,5,""))))))</f>
        <v>1</v>
      </c>
      <c r="S28" s="487" t="n">
        <f aca="false">IF(ISERROR(R28*I28),0,R28*I28)</f>
        <v>4</v>
      </c>
      <c r="T28" s="487" t="n">
        <f aca="false">IF(ISERROR(R28*I28*J28),0,R28*I28*J28)</f>
        <v>8</v>
      </c>
      <c r="U28" s="499" t="n">
        <f aca="false">IF(ISERROR(R28*J28),0,R28*J28)</f>
        <v>2</v>
      </c>
      <c r="V28" s="488" t="str">
        <f aca="false">IF(AND(A28="",F28=0),"",IF(F28=0,"Il manque le(s) % de rec. !",""))</f>
        <v/>
      </c>
      <c r="W28" s="489"/>
      <c r="Y28" s="490" t="str">
        <f aca="false">IF(A28="new.cod","NEWCOD",IF(AND((Z28=""),ISTEXT(A28)),A28,IF(Z28="","",INDEX('liste reference'!$A$8:$A$904,Z28))))</f>
        <v>RHISPX</v>
      </c>
      <c r="Z28" s="280" t="n">
        <f aca="false">IF(ISERROR(MATCH(A28,'liste reference'!$A$8:$A$904,0)),IF(ISERROR(MATCH(A28,'liste reference'!$B$8:$B$904,0)),"",(MATCH(A28,'liste reference'!$B$8:$B$904,0))),(MATCH(A28,'liste reference'!$A$8:$A$904,0)))</f>
        <v>62</v>
      </c>
      <c r="AA28" s="491"/>
      <c r="AB28" s="492"/>
      <c r="AC28" s="492"/>
      <c r="BB28" s="280" t="n">
        <f aca="false">IF(A28="","",1)</f>
        <v>1</v>
      </c>
    </row>
    <row r="29" customFormat="false" ht="12.75" hidden="false" customHeight="false" outlineLevel="0" collapsed="false">
      <c r="A29" s="493" t="s">
        <v>258</v>
      </c>
      <c r="B29" s="494" t="n">
        <v>0.005</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0.005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301</v>
      </c>
      <c r="B30" s="494" t="n">
        <v>0.01</v>
      </c>
      <c r="C30" s="495"/>
      <c r="D30" s="477" t="str">
        <f aca="false">IF(ISERROR(VLOOKUP($A30,'liste reference'!$A$7:$D$904,2,0)),IF(ISERROR(VLOOKUP($A30,'liste reference'!$B$7:$D$904,1,0)),"",VLOOKUP($A30,'liste reference'!$B$7:$D$904,1,0)),VLOOKUP($A30,'liste reference'!$A$7:$D$904,2,0))</f>
        <v>Vaucheria sp.</v>
      </c>
      <c r="E30" s="496" t="e">
        <f aca="false">IF(D30="",0,VLOOKUP(D30,D$22:D29,1,0))</f>
        <v>#N/A</v>
      </c>
      <c r="F30" s="497" t="n">
        <f aca="false">($B30*$B$7+$C30*$C$7)/100</f>
        <v>0.01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6193</v>
      </c>
      <c r="Q30" s="486" t="n">
        <f aca="false">IF(ISTEXT(H30),"",(B30*$B$7/100)+(C30*$C$7/100))</f>
        <v>0.01</v>
      </c>
      <c r="R30" s="487" t="n">
        <f aca="false">IF(OR(ISTEXT(H30),Q30=0),"",IF(Q30&lt;0.1,1,IF(Q30&lt;1,2,IF(Q30&lt;10,3,IF(Q30&lt;50,4,IF(Q30&gt;=50,5,""))))))</f>
        <v>1</v>
      </c>
      <c r="S30" s="487" t="n">
        <f aca="false">IF(ISERROR(R30*I30),0,R30*I30)</f>
        <v>4</v>
      </c>
      <c r="T30" s="487" t="n">
        <f aca="false">IF(ISERROR(R30*I30*J30),0,R30*I30*J30)</f>
        <v>4</v>
      </c>
      <c r="U30" s="499" t="n">
        <f aca="false">IF(ISERROR(R30*J30),0,R30*J30)</f>
        <v>1</v>
      </c>
      <c r="V30" s="488" t="str">
        <f aca="false">IF(AND(A30="",F30=0),"",IF(F30=0,"Il manque le(s) % de rec. !",""))</f>
        <v/>
      </c>
      <c r="W30" s="489"/>
      <c r="Y30" s="490" t="str">
        <f aca="false">IF(A30="new.cod","NEWCOD",IF(AND((Z30=""),ISTEXT(A30)),A30,IF(Z30="","",INDEX('liste reference'!$A$8:$A$904,Z30))))</f>
        <v>VAUSPX</v>
      </c>
      <c r="Z30" s="280" t="n">
        <f aca="false">IF(ISERROR(MATCH(A30,'liste reference'!$A$8:$A$904,0)),IF(ISERROR(MATCH(A30,'liste reference'!$B$8:$B$904,0)),"",(MATCH(A30,'liste reference'!$B$8:$B$904,0))),(MATCH(A30,'liste reference'!$A$8:$A$904,0)))</f>
        <v>82</v>
      </c>
      <c r="AA30" s="491"/>
      <c r="AB30" s="492"/>
      <c r="AC30" s="492"/>
      <c r="BB30" s="280" t="n">
        <f aca="false">IF(A30="","",1)</f>
        <v>1</v>
      </c>
    </row>
    <row r="31" customFormat="false" ht="12.75" hidden="false" customHeight="false" outlineLevel="0" collapsed="false">
      <c r="A31" s="493" t="s">
        <v>639</v>
      </c>
      <c r="B31" s="494" t="n">
        <v>0.15</v>
      </c>
      <c r="C31" s="495"/>
      <c r="D31" s="477" t="str">
        <f aca="false">IF(ISERROR(VLOOKUP($A31,'liste reference'!$A$7:$D$904,2,0)),IF(ISERROR(VLOOKUP($A31,'liste reference'!$B$7:$D$904,1,0)),"",VLOOKUP($A31,'liste reference'!$B$7:$D$904,1,0)),VLOOKUP($A31,'liste reference'!$A$7:$D$904,2,0))</f>
        <v>Amblystegium fluviatile</v>
      </c>
      <c r="E31" s="496" t="e">
        <f aca="false">IF(D31="",0,VLOOKUP(D31,D$22:D30,1,0))</f>
        <v>#N/A</v>
      </c>
      <c r="F31" s="497" t="n">
        <f aca="false">($B31*$B$7+$C31*$C$7)/100</f>
        <v>0.15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11</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fluviatile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1223</v>
      </c>
      <c r="Q31" s="486" t="n">
        <f aca="false">IF(ISTEXT(H31),"",(B31*$B$7/100)+(C31*$C$7/100))</f>
        <v>0.15</v>
      </c>
      <c r="R31" s="487" t="n">
        <f aca="false">IF(OR(ISTEXT(H31),Q31=0),"",IF(Q31&lt;0.1,1,IF(Q31&lt;1,2,IF(Q31&lt;10,3,IF(Q31&lt;50,4,IF(Q31&gt;=50,5,""))))))</f>
        <v>2</v>
      </c>
      <c r="S31" s="487" t="n">
        <f aca="false">IF(ISERROR(R31*I31),0,R31*I31)</f>
        <v>22</v>
      </c>
      <c r="T31" s="487" t="n">
        <f aca="false">IF(ISERROR(R31*I31*J31),0,R31*I31*J31)</f>
        <v>44</v>
      </c>
      <c r="U31" s="499" t="n">
        <f aca="false">IF(ISERROR(R31*J31),0,R31*J31)</f>
        <v>4</v>
      </c>
      <c r="V31" s="488" t="str">
        <f aca="false">IF(AND(A31="",F31=0),"",IF(F31=0,"Il manque le(s) % de rec. !",""))</f>
        <v/>
      </c>
      <c r="W31" s="489"/>
      <c r="Y31" s="490" t="str">
        <f aca="false">IF(A31="new.cod","NEWCOD",IF(AND((Z31=""),ISTEXT(A31)),A31,IF(Z31="","",INDEX('liste reference'!$A$8:$A$904,Z31))))</f>
        <v>AMBFLU</v>
      </c>
      <c r="Z31" s="280" t="n">
        <f aca="false">IF(ISERROR(MATCH(A31,'liste reference'!$A$8:$A$904,0)),IF(ISERROR(MATCH(A31,'liste reference'!$B$8:$B$904,0)),"",(MATCH(A31,'liste reference'!$B$8:$B$904,0))),(MATCH(A31,'liste reference'!$A$8:$A$904,0)))</f>
        <v>147</v>
      </c>
      <c r="AA31" s="491"/>
      <c r="AB31" s="492"/>
      <c r="AC31" s="492"/>
      <c r="BB31" s="280" t="n">
        <f aca="false">IF(A31="","",1)</f>
        <v>1</v>
      </c>
    </row>
    <row r="32" customFormat="false" ht="12.75" hidden="false" customHeight="false" outlineLevel="0" collapsed="false">
      <c r="A32" s="493" t="s">
        <v>670</v>
      </c>
      <c r="B32" s="494" t="n">
        <v>1</v>
      </c>
      <c r="C32" s="495"/>
      <c r="D32" s="477" t="str">
        <f aca="false">IF(ISERROR(VLOOKUP($A32,'liste reference'!$A$7:$D$904,2,0)),IF(ISERROR(VLOOKUP($A32,'liste reference'!$B$7:$D$904,1,0)),"",VLOOKUP($A32,'liste reference'!$B$7:$D$904,1,0)),VLOOKUP($A32,'liste reference'!$A$7:$D$904,2,0))</f>
        <v>Brachythecium rivulare</v>
      </c>
      <c r="E32" s="496" t="e">
        <f aca="false">IF(D32="",0,VLOOKUP(D32,D$22:D31,1,0))</f>
        <v>#N/A</v>
      </c>
      <c r="F32" s="497" t="n">
        <f aca="false">($B32*$B$7+$C32*$C$7)/100</f>
        <v>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Brachythecium rivulare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1260</v>
      </c>
      <c r="Q32" s="486" t="n">
        <f aca="false">IF(ISTEXT(H32),"",(B32*$B$7/100)+(C32*$C$7/100))</f>
        <v>1</v>
      </c>
      <c r="R32" s="487" t="n">
        <f aca="false">IF(OR(ISTEXT(H32),Q32=0),"",IF(Q32&lt;0.1,1,IF(Q32&lt;1,2,IF(Q32&lt;10,3,IF(Q32&lt;50,4,IF(Q32&gt;=50,5,""))))))</f>
        <v>3</v>
      </c>
      <c r="S32" s="487" t="n">
        <f aca="false">IF(ISERROR(R32*I32),0,R32*I32)</f>
        <v>45</v>
      </c>
      <c r="T32" s="487" t="n">
        <f aca="false">IF(ISERROR(R32*I32*J32),0,R32*I32*J32)</f>
        <v>90</v>
      </c>
      <c r="U32" s="499" t="n">
        <f aca="false">IF(ISERROR(R32*J32),0,R32*J32)</f>
        <v>6</v>
      </c>
      <c r="V32" s="488" t="str">
        <f aca="false">IF(AND(A32="",F32=0),"",IF(F32=0,"Il manque le(s) % de rec. !",""))</f>
        <v/>
      </c>
      <c r="W32" s="500"/>
      <c r="Y32" s="490" t="str">
        <f aca="false">IF(A32="new.cod","NEWCOD",IF(AND((Z32=""),ISTEXT(A32)),A32,IF(Z32="","",INDEX('liste reference'!$A$8:$A$904,Z32))))</f>
        <v>BRARIV</v>
      </c>
      <c r="Z32" s="280" t="n">
        <f aca="false">IF(ISERROR(MATCH(A32,'liste reference'!$A$8:$A$904,0)),IF(ISERROR(MATCH(A32,'liste reference'!$B$8:$B$904,0)),"",(MATCH(A32,'liste reference'!$B$8:$B$904,0))),(MATCH(A32,'liste reference'!$A$8:$A$904,0)))</f>
        <v>155</v>
      </c>
      <c r="AA32" s="491"/>
      <c r="AB32" s="492"/>
      <c r="AC32" s="492"/>
      <c r="BB32" s="280" t="n">
        <f aca="false">IF(A32="","",1)</f>
        <v>1</v>
      </c>
    </row>
    <row r="33" customFormat="false" ht="12.75" hidden="false" customHeight="false" outlineLevel="0" collapsed="false">
      <c r="A33" s="493" t="s">
        <v>861</v>
      </c>
      <c r="B33" s="494" t="n">
        <v>0.005</v>
      </c>
      <c r="C33" s="495"/>
      <c r="D33" s="477" t="str">
        <f aca="false">IF(ISERROR(VLOOKUP($A33,'liste reference'!$A$7:$D$904,2,0)),IF(ISERROR(VLOOKUP($A33,'liste reference'!$B$7:$D$904,1,0)),"",VLOOKUP($A33,'liste reference'!$B$7:$D$904,1,0)),VLOOKUP($A33,'liste reference'!$A$7:$D$904,2,0))</f>
        <v>Fissidens grandifrons</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15</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grandifrons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19666</v>
      </c>
      <c r="Q33" s="486" t="n">
        <f aca="false">IF(ISTEXT(H33),"",(B33*$B$7/100)+(C33*$C$7/100))</f>
        <v>0.005</v>
      </c>
      <c r="R33" s="487" t="n">
        <f aca="false">IF(OR(ISTEXT(H33),Q33=0),"",IF(Q33&lt;0.1,1,IF(Q33&lt;1,2,IF(Q33&lt;10,3,IF(Q33&lt;50,4,IF(Q33&gt;=50,5,""))))))</f>
        <v>1</v>
      </c>
      <c r="S33" s="487" t="n">
        <f aca="false">IF(ISERROR(R33*I33),0,R33*I33)</f>
        <v>15</v>
      </c>
      <c r="T33" s="487" t="n">
        <f aca="false">IF(ISERROR(R33*I33*J33),0,R33*I33*J33)</f>
        <v>45</v>
      </c>
      <c r="U33" s="499" t="n">
        <f aca="false">IF(ISERROR(R33*J33),0,R33*J33)</f>
        <v>3</v>
      </c>
      <c r="V33" s="488" t="str">
        <f aca="false">IF(AND(A33="",F33=0),"",IF(F33=0,"Il manque le(s) % de rec. !",""))</f>
        <v/>
      </c>
      <c r="W33" s="489"/>
      <c r="Y33" s="490" t="str">
        <f aca="false">IF(A33="new.cod","NEWCOD",IF(AND((Z33=""),ISTEXT(A33)),A33,IF(Z33="","",INDEX('liste reference'!$A$8:$A$904,Z33))))</f>
        <v>FISGRN</v>
      </c>
      <c r="Z33" s="280" t="n">
        <f aca="false">IF(ISERROR(MATCH(A33,'liste reference'!$A$8:$A$904,0)),IF(ISERROR(MATCH(A33,'liste reference'!$B$8:$B$904,0)),"",(MATCH(A33,'liste reference'!$B$8:$B$904,0))),(MATCH(A33,'liste reference'!$A$8:$A$904,0)))</f>
        <v>199</v>
      </c>
      <c r="AA33" s="491"/>
      <c r="AB33" s="492"/>
      <c r="AC33" s="492"/>
      <c r="BB33" s="280" t="n">
        <f aca="false">IF(A33="","",1)</f>
        <v>1</v>
      </c>
    </row>
    <row r="34" customFormat="false" ht="12.75" hidden="false" customHeight="false" outlineLevel="0" collapsed="false">
      <c r="A34" s="493" t="s">
        <v>896</v>
      </c>
      <c r="B34" s="494" t="n">
        <v>0.005</v>
      </c>
      <c r="C34" s="495"/>
      <c r="D34" s="477" t="str">
        <f aca="false">IF(ISERROR(VLOOKUP($A34,'liste reference'!$A$7:$D$904,2,0)),IF(ISERROR(VLOOKUP($A34,'liste reference'!$B$7:$D$904,1,0)),"",VLOOKUP($A34,'liste reference'!$B$7:$D$904,1,0)),VLOOKUP($A34,'liste reference'!$A$7:$D$904,2,0))</f>
        <v>Fontinalis antipyretica</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1310</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FONANT</v>
      </c>
      <c r="Z34" s="280" t="n">
        <f aca="false">IF(ISERROR(MATCH(A34,'liste reference'!$A$8:$A$904,0)),IF(ISERROR(MATCH(A34,'liste reference'!$B$8:$B$904,0)),"",(MATCH(A34,'liste reference'!$B$8:$B$904,0))),(MATCH(A34,'liste reference'!$A$8:$A$904,0)))</f>
        <v>210</v>
      </c>
      <c r="AA34" s="491"/>
      <c r="AB34" s="492"/>
      <c r="AC34" s="492"/>
      <c r="BB34" s="280" t="n">
        <f aca="false">IF(A34="","",1)</f>
        <v>1</v>
      </c>
    </row>
    <row r="35" customFormat="false" ht="12.75" hidden="false" customHeight="false" outlineLevel="0" collapsed="false">
      <c r="A35" s="493" t="s">
        <v>1054</v>
      </c>
      <c r="B35" s="494" t="n">
        <v>0.25</v>
      </c>
      <c r="C35" s="495"/>
      <c r="D35" s="477" t="str">
        <f aca="false">IF(ISERROR(VLOOKUP($A35,'liste reference'!$A$7:$D$904,2,0)),IF(ISERROR(VLOOKUP($A35,'liste reference'!$B$7:$D$904,1,0)),"",VLOOKUP($A35,'liste reference'!$B$7:$D$904,1,0)),VLOOKUP($A35,'liste reference'!$A$7:$D$904,2,0))</f>
        <v>Rhynchostegium riparioides</v>
      </c>
      <c r="E35" s="496" t="e">
        <f aca="false">IF(D35="",0,VLOOKUP(D35,D$22:D34,1,0))</f>
        <v>#N/A</v>
      </c>
      <c r="F35" s="501" t="n">
        <f aca="false">($B35*$B$7+$C35*$C$7)/100</f>
        <v>0.25</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1268</v>
      </c>
      <c r="Q35" s="486" t="n">
        <f aca="false">IF(ISTEXT(H35),"",(B35*$B$7/100)+(C35*$C$7/100))</f>
        <v>0.25</v>
      </c>
      <c r="R35" s="487" t="n">
        <f aca="false">IF(OR(ISTEXT(H35),Q35=0),"",IF(Q35&lt;0.1,1,IF(Q35&lt;1,2,IF(Q35&lt;10,3,IF(Q35&lt;50,4,IF(Q35&gt;=50,5,""))))))</f>
        <v>2</v>
      </c>
      <c r="S35" s="487" t="n">
        <f aca="false">IF(ISERROR(R35*I35),0,R35*I35)</f>
        <v>24</v>
      </c>
      <c r="T35" s="487" t="n">
        <f aca="false">IF(ISERROR(R35*I35*J35),0,R35*I35*J35)</f>
        <v>24</v>
      </c>
      <c r="U35" s="499" t="n">
        <f aca="false">IF(ISERROR(R35*J35),0,R35*J35)</f>
        <v>2</v>
      </c>
      <c r="V35" s="488" t="str">
        <f aca="false">IF(AND(A35="",F35=0),"",IF(F35=0,"Il manque le(s) % de rec. !",""))</f>
        <v/>
      </c>
      <c r="W35" s="489"/>
      <c r="Y35" s="490" t="str">
        <f aca="false">IF(A35="new.cod","NEWCOD",IF(AND((Z35=""),ISTEXT(A35)),A35,IF(Z35="","",INDEX('liste reference'!$A$8:$A$904,Z35))))</f>
        <v>RHYRIP</v>
      </c>
      <c r="Z35" s="280" t="n">
        <f aca="false">IF(ISERROR(MATCH(A35,'liste reference'!$A$8:$A$904,0)),IF(ISERROR(MATCH(A35,'liste reference'!$B$8:$B$904,0)),"",(MATCH(A35,'liste reference'!$B$8:$B$904,0))),(MATCH(A35,'liste reference'!$A$8:$A$904,0)))</f>
        <v>252</v>
      </c>
      <c r="AA35" s="491"/>
      <c r="AB35" s="492"/>
      <c r="AC35" s="492"/>
      <c r="BB35" s="280" t="n">
        <f aca="false">IF(A35="","",1)</f>
        <v>1</v>
      </c>
    </row>
    <row r="36" customFormat="false" ht="12.75" hidden="false" customHeight="false" outlineLevel="0" collapsed="false">
      <c r="A36" s="493" t="s">
        <v>2436</v>
      </c>
      <c r="B36" s="494" t="n">
        <v>0.005</v>
      </c>
      <c r="C36" s="495"/>
      <c r="D36" s="477" t="str">
        <f aca="false">IF(ISERROR(VLOOKUP($A36,'liste reference'!$A$7:$D$904,2,0)),IF(ISERROR(VLOOKUP($A36,'liste reference'!$B$7:$D$904,1,0)),"",VLOOKUP($A36,'liste reference'!$B$7:$D$904,1,0)),VLOOKUP($A36,'liste reference'!$A$7:$D$904,2,0))</f>
        <v>Solanum dulcamara</v>
      </c>
      <c r="E36" s="496" t="e">
        <f aca="false">IF(D36="",0,VLOOKUP(D36,D$22:D35,1,0))</f>
        <v>#N/A</v>
      </c>
      <c r="F36" s="501" t="n">
        <f aca="false">($B36*$B$7+$C36*$C$7)/100</f>
        <v>0.005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Solanum dulcamara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1964</v>
      </c>
      <c r="Q36" s="486" t="n">
        <f aca="false">IF(ISTEXT(H36),"",(B36*$B$7/100)+(C36*$C$7/100))</f>
        <v>0.005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SOADUL</v>
      </c>
      <c r="Z36" s="280" t="n">
        <f aca="false">IF(ISERROR(MATCH(A36,'liste reference'!$A$8:$A$904,0)),IF(ISERROR(MATCH(A36,'liste reference'!$B$8:$B$904,0)),"",(MATCH(A36,'liste reference'!$B$8:$B$904,0))),(MATCH(A36,'liste reference'!$A$8:$A$904,0)))</f>
        <v>824</v>
      </c>
      <c r="AA36" s="491"/>
      <c r="AB36" s="492"/>
      <c r="AC36" s="492"/>
      <c r="BB36" s="280" t="n">
        <f aca="false">IF(A36="","",1)</f>
        <v>1</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RIU FERRER</v>
      </c>
      <c r="B84" s="529" t="str">
        <f aca="false">C3</f>
        <v>Arles sur Tech</v>
      </c>
      <c r="C84" s="530" t="n">
        <f aca="false">A4</f>
        <v>41494</v>
      </c>
      <c r="D84" s="531" t="n">
        <f aca="false">IF(ISERROR(SUM($T$23:$T$82)/SUM($U$23:$U$82)),"",SUM($T$23:$T$82)/SUM($U$23:$U$82))</f>
        <v>12.2727272727273</v>
      </c>
      <c r="E84" s="532" t="n">
        <f aca="false">N13</f>
        <v>14</v>
      </c>
      <c r="F84" s="529" t="n">
        <f aca="false">N14</f>
        <v>14</v>
      </c>
      <c r="G84" s="529" t="n">
        <f aca="false">N15</f>
        <v>6</v>
      </c>
      <c r="H84" s="529" t="n">
        <f aca="false">N16</f>
        <v>6</v>
      </c>
      <c r="I84" s="529" t="n">
        <f aca="false">N17</f>
        <v>1</v>
      </c>
      <c r="J84" s="533" t="n">
        <f aca="false">N8</f>
        <v>9.92857142857143</v>
      </c>
      <c r="K84" s="531" t="n">
        <f aca="false">N9</f>
        <v>4.65164004433284</v>
      </c>
      <c r="L84" s="532" t="n">
        <f aca="false">N10</f>
        <v>0</v>
      </c>
      <c r="M84" s="532" t="n">
        <f aca="false">N11</f>
        <v>15</v>
      </c>
      <c r="N84" s="531" t="n">
        <f aca="false">O8</f>
        <v>1.5</v>
      </c>
      <c r="O84" s="531" t="n">
        <f aca="false">O9</f>
        <v>0.7319250547114</v>
      </c>
      <c r="P84" s="532" t="n">
        <f aca="false">O10</f>
        <v>0</v>
      </c>
      <c r="Q84" s="532" t="n">
        <f aca="false">O11</f>
        <v>3</v>
      </c>
      <c r="R84" s="532" t="n">
        <f aca="false">F21</f>
        <v>2.7</v>
      </c>
      <c r="S84" s="532" t="n">
        <f aca="false">K11</f>
        <v>0</v>
      </c>
      <c r="T84" s="532" t="n">
        <f aca="false">K12</f>
        <v>8</v>
      </c>
      <c r="U84" s="532" t="n">
        <f aca="false">K13</f>
        <v>5</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45</v>
      </c>
      <c r="T87" s="280"/>
      <c r="U87" s="280"/>
      <c r="V87" s="280"/>
    </row>
    <row r="88" customFormat="false" ht="12.75" hidden="true" customHeight="false" outlineLevel="0" collapsed="false">
      <c r="P88" s="280"/>
      <c r="Q88" s="280" t="s">
        <v>2687</v>
      </c>
      <c r="R88" s="280"/>
      <c r="S88" s="488" t="n">
        <f aca="false">VLOOKUP((S87),($S$23:$U$82),2,0)</f>
        <v>90</v>
      </c>
      <c r="T88" s="280"/>
      <c r="U88" s="280"/>
      <c r="V88" s="280"/>
    </row>
    <row r="89" customFormat="false" ht="12.75" hidden="true" customHeight="false" outlineLevel="0" collapsed="false">
      <c r="Q89" s="280" t="s">
        <v>2688</v>
      </c>
      <c r="R89" s="280"/>
      <c r="S89" s="488" t="n">
        <f aca="false">VLOOKUP((S87),($S$23:$U$82),3,0)</f>
        <v>6</v>
      </c>
      <c r="T89" s="280"/>
    </row>
    <row r="90" customFormat="false" ht="12.75" hidden="false" customHeight="false" outlineLevel="0" collapsed="false">
      <c r="Q90" s="280" t="s">
        <v>2689</v>
      </c>
      <c r="R90" s="280"/>
      <c r="S90" s="538" t="n">
        <f aca="false">IF(ISERROR(SUM($T$23:$T$82)/SUM($U$23:$U$82)),"",(SUM($T$23:$T$82)-S88)/(SUM($U$23:$U$82)-S89))</f>
        <v>11.6666666666667</v>
      </c>
      <c r="T90" s="280"/>
    </row>
    <row r="91" customFormat="false" ht="12.75" hidden="false" customHeight="false" outlineLevel="0" collapsed="false">
      <c r="Q91" s="487" t="s">
        <v>2690</v>
      </c>
      <c r="R91" s="487"/>
      <c r="S91" s="487" t="str">
        <f aca="false">INDEX('liste reference'!$A$8:$A$904,$T$91)</f>
        <v>BRARIV</v>
      </c>
      <c r="T91" s="280" t="n">
        <f aca="false">IF(ISERROR(MATCH($S$93,'liste reference'!$A$8:$A$904,0)),MATCH($S$93,'liste reference'!$B$8:$B$904,0),(MATCH($S$93,'liste reference'!$A$8:$A$904,0)))</f>
        <v>155</v>
      </c>
      <c r="U91" s="527"/>
    </row>
    <row r="92" customFormat="false" ht="12.75" hidden="false" customHeight="false" outlineLevel="0" collapsed="false">
      <c r="Q92" s="280" t="s">
        <v>2691</v>
      </c>
      <c r="R92" s="280"/>
      <c r="S92" s="280" t="n">
        <f aca="false">MATCH(S87,$S$23:$S$82,0)</f>
        <v>10</v>
      </c>
      <c r="T92" s="280"/>
    </row>
    <row r="93" customFormat="false" ht="12.75" hidden="false" customHeight="false" outlineLevel="0" collapsed="false">
      <c r="Q93" s="487" t="s">
        <v>2692</v>
      </c>
      <c r="R93" s="280"/>
      <c r="S93" s="487" t="str">
        <f aca="false">INDEX($A$23:$A$82,$S$92)</f>
        <v>BRARIV</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2700</v>
      </c>
      <c r="B1" s="549"/>
      <c r="C1" s="549"/>
      <c r="D1" s="549"/>
    </row>
    <row r="2" customFormat="false" ht="15" hidden="false" customHeight="false" outlineLevel="0" collapsed="false">
      <c r="A2" s="550" t="s">
        <v>2701</v>
      </c>
      <c r="B2" s="551"/>
      <c r="C2" s="552"/>
      <c r="D2" s="552"/>
    </row>
    <row r="3" customFormat="false" ht="15.75" hidden="false" customHeight="false" outlineLevel="0" collapsed="false">
      <c r="A3" s="550" t="s">
        <v>2702</v>
      </c>
      <c r="B3" s="551"/>
      <c r="C3" s="552"/>
      <c r="D3" s="553" t="s">
        <v>2703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2704</v>
      </c>
      <c r="G15" s="571"/>
      <c r="H15" s="572" t="s">
        <v>2705</v>
      </c>
      <c r="I15" s="571"/>
    </row>
    <row r="16" customFormat="false" ht="15" hidden="false" customHeight="false" outlineLevel="0" collapsed="false">
      <c r="A16" s="567" t="s">
        <v>1708</v>
      </c>
      <c r="B16" s="566" t="s">
        <v>1709</v>
      </c>
      <c r="C16" s="568"/>
      <c r="D16" s="569"/>
      <c r="F16" s="573" t="s">
        <v>2706</v>
      </c>
      <c r="G16" s="574"/>
      <c r="H16" s="573" t="s">
        <v>2706</v>
      </c>
      <c r="I16" s="575"/>
    </row>
    <row r="17" customFormat="false" ht="15" hidden="false" customHeight="false" outlineLevel="0" collapsed="false">
      <c r="A17" s="565" t="s">
        <v>2127</v>
      </c>
      <c r="B17" s="566" t="s">
        <v>2128</v>
      </c>
      <c r="C17" s="568"/>
      <c r="D17" s="569"/>
      <c r="F17" s="576" t="s">
        <v>2707</v>
      </c>
      <c r="G17" s="577"/>
      <c r="H17" s="576" t="s">
        <v>2707</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2709</v>
      </c>
      <c r="G20" s="577"/>
      <c r="H20" s="576" t="s">
        <v>2709</v>
      </c>
      <c r="I20" s="578"/>
    </row>
    <row r="21" customFormat="false" ht="15" hidden="false" customHeight="false" outlineLevel="0" collapsed="false">
      <c r="A21" s="567" t="s">
        <v>1720</v>
      </c>
      <c r="B21" s="566" t="s">
        <v>1721</v>
      </c>
      <c r="C21" s="568"/>
      <c r="D21" s="569"/>
      <c r="F21" s="576" t="s">
        <v>2710</v>
      </c>
      <c r="G21" s="577"/>
      <c r="H21" s="576" t="s">
        <v>2710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2014-04-09T10:37:30Z</dcterms:modified>
  <cp:revision>0</cp:revision>
  <dc:subject/>
  <dc:title>Feuille d'aide au calcul de l'IBMR</dc:title>
</cp:coreProperties>
</file>