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Riu Ferrer"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'Riu Ferrer'!$A$1:$Q$82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'Riu Ferrer'!$A$1:$C$1415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<sst xmlns="http://schemas.openxmlformats.org/spreadsheetml/2006/main" count="9994" uniqueCount="3494">
  <si>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</si>
  <si>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</si>
  <si>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</si>
  <si>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</si>
  <si>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</si>
  <si>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</si>
  <si>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</si>
  <si>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</si>
  <si>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</si>
  <si>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</si>
  <si>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</si>
  <si>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</si>
  <si>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</si>
  <si>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</si>
  <si>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</si>
  <si>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</si>
  <si>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</si>
  <si>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</si>
  <si>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</si>
  <si>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</si>
  <si>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</si>
  <si>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</si>
  <si>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</si>
  <si>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</si>
  <si>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</si>
  <si>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</si>
  <si>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</si>
  <si>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</si>
  <si>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</si>
  <si>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</si>
  <si>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</si>
  <si>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</si>
  <si>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</si>
  <si>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</si>
  <si>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</si>
  <si>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</si>
  <si>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</si>
  <si>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</si>
  <si>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</si>
  <si>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</si>
  <si>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</si>
  <si>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</si>
  <si>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</si>
  <si>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</si>
  <si>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</si>
  <si>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</si>
  <si>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</si>
  <si>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</si>
  <si>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</si>
  <si>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</si>
  <si>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</si>
  <si>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</si>
  <si>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</si>
  <si>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</si>
  <si>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</si>
  <si>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</si>
  <si>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</si>
  <si>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</si>
  <si>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</si>
  <si>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</si>
  <si>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</si>
  <si>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</si>
  <si>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</si>
  <si>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</si>
  <si>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</si>
  <si>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</si>
  <si>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</si>
  <si>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</si>
  <si>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</si>
  <si>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</si>
  <si>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</si>
  <si>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</si>
  <si>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</si>
  <si>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</si>
  <si>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</si>
  <si>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</si>
  <si>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</si>
  <si>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</si>
  <si>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</si>
  <si>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</si>
  <si>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</si>
  <si>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</si>
  <si>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</si>
  <si>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</si>
  <si>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</si>
  <si>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</si>
  <si>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</si>
  <si>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</si>
  <si>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</si>
  <si>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</si>
  <si>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</si>
  <si>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</si>
  <si>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</si>
  <si>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</si>
  <si>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</si>
  <si>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</si>
  <si>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</si>
  <si>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</si>
  <si>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</si>
  <si>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</si>
  <si>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</si>
  <si>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</si>
  <si>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</si>
  <si>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</si>
  <si>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</si>
  <si>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</si>
  <si>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</si>
  <si>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</si>
  <si>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</si>
  <si>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</si>
  <si>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</si>
  <si>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</si>
  <si>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</si>
  <si>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</si>
  <si>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</si>
  <si>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</si>
  <si>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</si>
  <si>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</si>
  <si>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</si>
  <si>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</si>
  <si>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</si>
  <si>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</si>
  <si>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</si>
  <si>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</si>
  <si>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</si>
  <si>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</si>
  <si>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</si>
  <si>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</si>
  <si>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</si>
  <si>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</si>
  <si>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</si>
  <si>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</si>
  <si>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</si>
  <si>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</si>
  <si>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</si>
  <si>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</si>
  <si>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</si>
  <si>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</si>
  <si>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</si>
  <si>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</si>
  <si>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</si>
  <si>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</si>
  <si>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</si>
  <si>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</si>
  <si>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</si>
  <si>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</si>
  <si>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</si>
  <si>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</si>
  <si>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</si>
  <si>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</si>
  <si>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</si>
  <si>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</si>
  <si>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</si>
  <si>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</si>
  <si>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</si>
  <si>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</si>
  <si>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</si>
  <si>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</si>
  <si>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</si>
  <si>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</si>
  <si>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</si>
  <si>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</si>
  <si>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</si>
  <si>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</si>
  <si>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</si>
  <si>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</si>
  <si>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</si>
  <si>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</si>
  <si>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</si>
  <si>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</si>
  <si>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</si>
  <si>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</si>
  <si>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</si>
  <si>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</si>
  <si>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</si>
  <si>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</si>
  <si>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</si>
  <si>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</si>
  <si>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</si>
  <si>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</si>
  <si>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</si>
  <si>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</si>
  <si>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</si>
  <si>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</si>
  <si>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</si>
  <si>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</si>
  <si>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</si>
  <si>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</si>
  <si>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</si>
  <si>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</si>
  <si>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</si>
  <si>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</si>
  <si>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</si>
  <si>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</si>
  <si>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</si>
  <si>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</si>
  <si>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</si>
  <si>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</si>
  <si>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</si>
  <si>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</si>
  <si>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</si>
  <si>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</si>
  <si>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</si>
  <si>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</si>
  <si>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</si>
  <si>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</si>
  <si>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</si>
  <si>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</si>
  <si>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</si>
  <si>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</si>
  <si>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</si>
  <si>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</si>
  <si>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</si>
  <si>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</si>
  <si>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</si>
  <si>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</si>
  <si>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</si>
  <si>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</si>
  <si>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</si>
  <si>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</si>
  <si>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</si>
  <si>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</si>
  <si>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</si>
  <si>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</si>
  <si>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</si>
  <si>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</si>
  <si>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</si>
  <si>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</si>
  <si>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</si>
  <si>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</si>
  <si>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</si>
  <si>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</si>
  <si>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</si>
  <si>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</si>
  <si>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</si>
  <si>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</si>
  <si>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</si>
  <si>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</si>
  <si>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</si>
  <si>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</si>
  <si>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</si>
  <si>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</si>
  <si>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</si>
  <si>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</si>
  <si>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</si>
  <si>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</si>
  <si>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</si>
  <si>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</si>
  <si>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</si>
  <si>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</si>
  <si>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</si>
  <si>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</si>
  <si>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</si>
  <si>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</si>
  <si>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</si>
  <si>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</si>
  <si>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</si>
  <si>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</si>
  <si>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</si>
  <si>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</si>
  <si>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</si>
  <si>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</si>
  <si>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</si>
  <si>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</si>
  <si>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</si>
  <si>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</si>
  <si>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</si>
  <si>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</si>
  <si>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</si>
  <si>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</si>
  <si>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</si>
  <si>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</si>
  <si>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</si>
  <si>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</si>
  <si>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</si>
  <si>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</si>
  <si>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</si>
  <si>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</si>
  <si>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</si>
  <si>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</si>
  <si>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</si>
  <si>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</si>
  <si>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</si>
  <si>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</si>
  <si>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</si>
  <si>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</si>
  <si>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</si>
  <si>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</si>
  <si>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</si>
  <si>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</si>
  <si>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</si>
  <si>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</si>
  <si>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</si>
  <si>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</si>
  <si>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</si>
  <si>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</si>
  <si>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</si>
  <si>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</si>
  <si>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</si>
  <si>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</si>
  <si>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</si>
  <si>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</si>
  <si>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</si>
  <si>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</si>
  <si>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</si>
  <si>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</si>
  <si>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</si>
  <si>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</si>
  <si>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</si>
  <si>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</si>
  <si>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</si>
  <si>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</si>
  <si>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</si>
  <si>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</si>
  <si>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</si>
  <si>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</si>
  <si>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</si>
  <si>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</si>
  <si>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</si>
  <si>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</si>
  <si>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</si>
  <si>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</si>
  <si>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</si>
  <si>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</si>
  <si>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</si>
  <si>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</si>
  <si>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</si>
  <si>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</si>
  <si>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</si>
  <si>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</si>
  <si>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</si>
  <si>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</si>
  <si>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</si>
  <si>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</si>
  <si>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</si>
  <si>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</si>
  <si>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</si>
  <si>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</si>
  <si>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</si>
  <si>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</si>
  <si>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</si>
  <si>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</si>
  <si>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</si>
  <si>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</si>
  <si>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</si>
  <si>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</si>
  <si>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</si>
  <si>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</si>
  <si>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</si>
  <si>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</si>
  <si>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</si>
  <si>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</si>
  <si>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</si>
  <si>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</si>
  <si>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</si>
  <si>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</si>
  <si>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</si>
  <si>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</si>
  <si>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</si>
  <si>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</si>
  <si>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</si>
  <si>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</si>
  <si>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</si>
  <si>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</si>
  <si>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</si>
  <si>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</si>
  <si>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</si>
  <si>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</si>
  <si>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</si>
  <si>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</si>
  <si>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</si>
  <si>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</si>
  <si>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</si>
  <si>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</si>
  <si>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</si>
  <si>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</si>
  <si>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</si>
  <si>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</si>
  <si>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</si>
  <si>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</si>
  <si>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</si>
  <si>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</si>
  <si>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</si>
  <si>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</si>
  <si>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</si>
  <si>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</si>
  <si>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</si>
  <si>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</si>
  <si>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</si>
  <si>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</si>
  <si>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</si>
  <si>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</si>
  <si>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</si>
  <si>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</si>
  <si>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</si>
  <si>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</si>
  <si>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</si>
  <si>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</si>
  <si>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</si>
  <si>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</si>
  <si>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</si>
  <si>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</si>
  <si>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</si>
  <si>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</si>
  <si>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</si>
  <si>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</si>
  <si>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</si>
  <si>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</si>
  <si>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</si>
  <si>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</si>
  <si>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</si>
  <si>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</si>
  <si>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</si>
  <si>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</si>
  <si>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</si>
  <si>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</si>
  <si>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</si>
  <si>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</si>
  <si>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</si>
  <si>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</si>
  <si>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</si>
  <si>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</si>
  <si>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</si>
  <si>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</si>
  <si>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</si>
  <si>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</si>
  <si>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</si>
  <si>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</si>
  <si>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</si>
  <si>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</si>
  <si>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</si>
  <si>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</si>
  <si>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</si>
  <si>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</si>
  <si>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</si>
  <si>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</si>
  <si>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</si>
  <si>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</si>
  <si>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</si>
  <si>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</si>
  <si>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</si>
  <si>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</si>
  <si>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</si>
  <si>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</si>
  <si>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</si>
  <si>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</si>
  <si>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</si>
  <si>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</si>
  <si>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</si>
  <si>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</si>
  <si>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</si>
  <si>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</si>
  <si>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</si>
  <si>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</si>
  <si>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</si>
  <si>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</si>
  <si>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</si>
  <si>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</si>
  <si>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</si>
  <si>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</si>
  <si>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</si>
  <si>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</si>
  <si>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</si>
  <si>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</si>
  <si>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</si>
  <si>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</si>
  <si>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</si>
  <si>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</si>
  <si>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</si>
  <si>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</si>
  <si>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</si>
  <si>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</si>
  <si>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</si>
  <si>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</si>
  <si>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</si>
  <si>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</si>
  <si>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</si>
  <si>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</si>
  <si>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</si>
  <si>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</si>
  <si>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</si>
  <si>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</si>
  <si>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</si>
  <si>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</si>
  <si>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</si>
  <si>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</si>
  <si>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</si>
  <si>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</si>
  <si>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</si>
  <si>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</si>
  <si>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</si>
  <si>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</si>
  <si>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</si>
  <si>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</si>
  <si>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</si>
  <si>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</si>
  <si>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</si>
  <si>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</si>
  <si>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</si>
  <si>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</si>
  <si>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</si>
  <si>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</si>
  <si>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</si>
  <si>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</si>
  <si>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</si>
  <si>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</si>
  <si>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</si>
  <si>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</si>
  <si>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</si>
  <si>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</si>
  <si>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</si>
  <si>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</si>
  <si>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</si>
  <si>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</si>
  <si>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</si>
  <si>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</si>
  <si>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</si>
  <si>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</si>
  <si>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</si>
  <si>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</si>
  <si>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</si>
  <si>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</si>
  <si>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</si>
  <si>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</si>
  <si>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</si>
  <si>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</si>
  <si>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</si>
  <si>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</si>
  <si>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</si>
  <si>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</si>
  <si>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</si>
  <si>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</si>
  <si>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</si>
  <si>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</si>
  <si>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</si>
  <si>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</si>
  <si>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</si>
  <si>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</si>
  <si>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</si>
  <si>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</si>
  <si>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</si>
  <si>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</si>
  <si>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</si>
  <si>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</si>
  <si>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</si>
  <si>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</si>
  <si>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</si>
  <si>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</si>
  <si>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</si>
  <si>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</si>
  <si>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</si>
  <si>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</si>
  <si>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</si>
  <si>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</si>
  <si>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</si>
  <si>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</si>
  <si>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</si>
  <si>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</si>
  <si>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</si>
  <si>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</si>
  <si>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</si>
  <si>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</si>
  <si>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</si>
  <si>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</si>
  <si>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</si>
  <si>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</si>
  <si>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</si>
  <si>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</si>
  <si>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</si>
  <si>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</si>
  <si>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</si>
  <si>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</si>
  <si>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</si>
  <si>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</si>
  <si>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</si>
  <si>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</si>
  <si>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</si>
  <si>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</si>
  <si>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</si>
  <si>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</si>
  <si>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</si>
  <si>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</si>
  <si>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</si>
  <si>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</si>
  <si>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</si>
  <si>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</si>
  <si>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</si>
  <si>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</si>
  <si>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</si>
  <si>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</si>
  <si>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</si>
  <si>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</si>
  <si>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</si>
  <si>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</si>
  <si>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</si>
  <si>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</si>
  <si>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</si>
  <si>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</si>
  <si>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</si>
  <si>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</si>
  <si>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</si>
  <si>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</si>
  <si>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</si>
  <si>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</si>
  <si>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</si>
  <si>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</si>
  <si>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</si>
  <si>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</si>
  <si>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</si>
  <si>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</si>
  <si>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</si>
  <si>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</si>
  <si>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</si>
  <si>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</si>
  <si>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</si>
  <si>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</si>
  <si>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</si>
  <si>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</si>
  <si>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</si>
  <si>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</si>
  <si>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</si>
  <si>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</si>
  <si>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</si>
  <si>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</si>
  <si>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</si>
  <si>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</si>
  <si>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</si>
  <si>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</si>
  <si>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</si>
  <si>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</si>
  <si>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</si>
  <si>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</si>
  <si>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</si>
  <si>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</si>
  <si>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</si>
  <si>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</si>
  <si>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</si>
  <si>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</si>
  <si>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</si>
  <si>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</si>
  <si>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</si>
  <si>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</si>
  <si>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</si>
  <si>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</si>
  <si>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</si>
  <si>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</si>
  <si>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</si>
  <si>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</si>
  <si>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</si>
  <si>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</si>
  <si>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</si>
  <si>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</si>
  <si>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</si>
  <si>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</si>
  <si>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</si>
  <si>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</si>
  <si>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</si>
  <si>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</si>
  <si>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</si>
  <si>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</si>
  <si>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</si>
  <si>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</si>
  <si>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</si>
  <si>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</si>
  <si>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</si>
  <si>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</si>
  <si>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</si>
  <si>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</si>
  <si>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</si>
  <si>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</si>
  <si>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</si>
  <si>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</si>
  <si>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</si>
  <si>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</si>
  <si>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</si>
  <si>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</si>
  <si>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</si>
  <si>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</si>
  <si>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</si>
  <si>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</si>
  <si>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</si>
  <si>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</si>
  <si>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</si>
  <si>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</si>
  <si>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</si>
  <si>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</si>
  <si>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</si>
  <si>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</si>
  <si>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</si>
  <si>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</si>
  <si>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</si>
  <si>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</si>
  <si>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</si>
  <si>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</si>
  <si>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</si>
  <si>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</si>
  <si>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</si>
  <si>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</si>
  <si>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</si>
  <si>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</si>
  <si>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</si>
  <si>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</si>
  <si>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</si>
  <si>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</si>
  <si>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</si>
  <si>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</si>
  <si>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</si>
  <si>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</si>
  <si>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</si>
  <si>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</si>
  <si>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</si>
  <si>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</si>
  <si>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</si>
  <si>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</si>
  <si>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</si>
  <si>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</si>
  <si>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</si>
  <si>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</si>
  <si>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</si>
  <si>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</si>
  <si>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</si>
  <si>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</si>
  <si>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</si>
  <si>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</si>
  <si>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</si>
  <si>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</si>
  <si>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</si>
  <si>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</si>
  <si>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</si>
  <si>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</si>
  <si>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</si>
  <si>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</si>
  <si>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</si>
  <si>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</si>
  <si>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</si>
  <si>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</si>
  <si>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</si>
  <si>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</si>
  <si>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</si>
  <si>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</si>
  <si>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</si>
  <si>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</si>
  <si>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</si>
  <si>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</si>
  <si>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</si>
  <si>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</si>
  <si>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</si>
  <si>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</si>
  <si>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</si>
  <si>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</si>
  <si>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</si>
  <si>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</si>
  <si>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</si>
  <si>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</si>
  <si>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</si>
  <si>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</si>
  <si>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</si>
  <si>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</si>
  <si>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</si>
  <si>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</si>
  <si>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</si>
  <si>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</si>
  <si>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</si>
  <si>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</si>
  <si>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</si>
  <si>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</si>
  <si>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</si>
  <si>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</si>
  <si>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</si>
  <si>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</si>
  <si>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</si>
  <si>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</si>
  <si>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</si>
  <si>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</si>
  <si>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</si>
  <si>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</si>
  <si>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</si>
  <si>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</si>
  <si>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</si>
  <si>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</si>
  <si>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</si>
  <si>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</si>
  <si>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</si>
  <si>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</si>
  <si>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</si>
  <si>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</si>
  <si>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</si>
  <si>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</si>
  <si>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</si>
  <si>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</si>
  <si>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</si>
  <si>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</si>
  <si>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</si>
  <si>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</si>
  <si>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</si>
  <si>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</si>
  <si>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</si>
  <si>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</si>
  <si>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</si>
  <si>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</si>
  <si>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</si>
  <si>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</si>
  <si>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</si>
  <si>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</si>
  <si>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</si>
  <si>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</si>
  <si>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</si>
  <si>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</si>
  <si>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</si>
  <si>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</si>
  <si>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</si>
  <si>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</si>
  <si>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</si>
  <si>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</si>
  <si>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</si>
  <si>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</si>
  <si>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</si>
  <si>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</si>
  <si>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</si>
  <si>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</si>
  <si>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</si>
  <si>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</si>
  <si>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</si>
  <si>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</si>
  <si>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</si>
  <si>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</si>
  <si>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</si>
  <si>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</si>
  <si>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</si>
  <si>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</si>
  <si>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</si>
  <si>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</si>
  <si>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</si>
  <si>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</si>
  <si>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</si>
  <si>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</si>
  <si>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</si>
  <si>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</si>
  <si>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</si>
  <si>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</si>
  <si>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</si>
  <si>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</si>
  <si>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</si>
  <si>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</si>
  <si>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</si>
  <si>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</si>
  <si>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</si>
  <si>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</si>
  <si>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</si>
  <si>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</si>
  <si>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</si>
  <si>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</si>
  <si>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</si>
  <si>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</si>
  <si>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</si>
  <si>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</si>
  <si>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</si>
  <si>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</si>
  <si>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</si>
  <si>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</si>
  <si>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</si>
  <si>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</si>
  <si>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</si>
  <si>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</si>
  <si>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</si>
  <si>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</si>
  <si>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</si>
  <si>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</si>
  <si>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</si>
  <si>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</si>
  <si>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</si>
  <si>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</si>
  <si>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</si>
  <si>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</si>
  <si>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</si>
  <si>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</si>
  <si>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</si>
  <si>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</si>
  <si>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</si>
  <si>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</si>
  <si>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</si>
  <si>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</si>
  <si>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</si>
  <si>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</si>
  <si>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</si>
  <si>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</si>
  <si>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</si>
  <si>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</si>
  <si>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</si>
  <si>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</si>
  <si>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</si>
  <si>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</si>
  <si>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</si>
  <si>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</si>
  <si>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</si>
  <si>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</si>
  <si>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</si>
  <si>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</si>
  <si>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</si>
  <si>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</si>
  <si>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</si>
  <si>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</si>
  <si>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</si>
  <si>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</si>
  <si>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</si>
  <si>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</si>
  <si>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</si>
  <si>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</si>
  <si>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</si>
  <si>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</si>
  <si>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</si>
  <si>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</si>
  <si>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</si>
  <si>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</si>
  <si>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</si>
  <si>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</si>
  <si>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</si>
  <si>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</si>
  <si>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</si>
  <si>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</si>
  <si>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</si>
  <si>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</si>
  <si>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</si>
  <si>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</si>
  <si>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</si>
  <si>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</si>
  <si>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</si>
  <si>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</si>
  <si>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</si>
  <si>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</si>
  <si>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</si>
  <si>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</si>
  <si>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</si>
  <si>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</si>
  <si>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</si>
  <si>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</si>
  <si>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</si>
  <si>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</si>
  <si>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</si>
  <si>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</si>
  <si>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</si>
  <si>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</si>
  <si>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</si>
  <si>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</si>
  <si>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</si>
  <si>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</si>
  <si>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</si>
  <si>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</si>
  <si>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</si>
  <si>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</si>
  <si>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</si>
  <si>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</si>
  <si>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</si>
  <si>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</si>
  <si>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</si>
  <si>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</si>
  <si>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</si>
  <si>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</si>
  <si>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</si>
  <si>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</si>
  <si>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</si>
  <si>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</si>
  <si>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</si>
  <si>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</si>
  <si>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</si>
  <si>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</si>
  <si>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</si>
  <si>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</si>
  <si>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</si>
  <si>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</si>
  <si>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</si>
  <si>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</si>
  <si>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</si>
  <si>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</si>
  <si>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</si>
  <si>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</si>
  <si>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</si>
  <si>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</si>
  <si>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</si>
  <si>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</si>
  <si>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</si>
  <si>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</si>
  <si>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</si>
  <si>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</si>
  <si>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</si>
  <si>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</si>
  <si>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</si>
  <si>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</si>
  <si>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</si>
  <si>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</si>
  <si>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</si>
  <si>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</si>
  <si>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</si>
  <si>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</si>
  <si>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</si>
  <si>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</si>
  <si>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</si>
  <si>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</si>
  <si>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</si>
  <si>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</si>
  <si>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</si>
  <si>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</si>
  <si>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</si>
  <si>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</si>
  <si>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</si>
  <si>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</si>
  <si>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</si>
  <si>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</si>
  <si>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</si>
  <si>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</si>
  <si>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</si>
  <si>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</si>
  <si>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</si>
  <si>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</si>
  <si>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</si>
  <si>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</si>
  <si>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</si>
  <si>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</si>
  <si>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</si>
  <si>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</si>
  <si>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</si>
  <si>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</si>
  <si>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</si>
  <si>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</si>
  <si>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</si>
  <si>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</si>
  <si>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</si>
  <si>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</si>
  <si>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</si>
  <si>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</si>
  <si>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</si>
  <si>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</si>
  <si>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</si>
  <si>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</si>
  <si>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</si>
  <si>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</si>
  <si>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</si>
  <si>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</si>
  <si>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</si>
  <si>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</si>
  <si>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</si>
  <si>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</si>
  <si>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</si>
  <si>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</si>
  <si>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</si>
  <si>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</si>
  <si>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</si>
  <si>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</si>
  <si>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</si>
  <si>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</si>
  <si>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</si>
  <si>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</si>
  <si>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</si>
  <si>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</si>
  <si>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</si>
  <si>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</si>
  <si>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</si>
  <si>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</si>
  <si>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</si>
  <si>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</si>
  <si>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</si>
  <si>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</si>
  <si>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</si>
  <si>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</si>
  <si>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</si>
  <si>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</si>
  <si>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</si>
  <si>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</si>
  <si>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</si>
  <si>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</si>
  <si>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</si>
  <si>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</si>
  <si>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</si>
  <si>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</si>
  <si>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</si>
  <si>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</si>
  <si>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</si>
  <si>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</si>
  <si>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</si>
  <si>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</si>
  <si>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</si>
  <si>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</si>
  <si>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</si>
  <si>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</si>
  <si>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</si>
  <si>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</si>
  <si>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</si>
  <si>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</si>
  <si>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</si>
  <si>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</si>
  <si>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</si>
  <si>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</si>
  <si>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</si>
  <si>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</si>
  <si>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</si>
  <si>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</si>
  <si>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</si>
  <si>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</si>
  <si>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</si>
  <si>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</si>
  <si>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</si>
  <si>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</si>
  <si>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</si>
  <si>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</si>
  <si>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</si>
  <si>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</si>
  <si>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</si>
  <si>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</si>
  <si>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</si>
  <si>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</si>
  <si>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</si>
  <si>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</si>
  <si>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</si>
  <si>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</si>
  <si>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</si>
  <si>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</si>
  <si>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</si>
  <si>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</si>
  <si>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</si>
  <si>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</si>
  <si>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</si>
  <si>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</si>
  <si>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</si>
  <si>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</si>
  <si>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</si>
  <si>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</si>
  <si>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</si>
  <si>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</si>
  <si>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</si>
  <si>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</si>
  <si>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</si>
  <si>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</si>
  <si>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</si>
  <si>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</si>
  <si>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</si>
  <si>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</si>
  <si>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</si>
  <si>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</si>
  <si>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</si>
  <si>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</si>
  <si>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</si>
  <si>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</si>
  <si>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</si>
  <si>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</si>
  <si>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</si>
  <si>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</si>
  <si>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</si>
  <si>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</si>
  <si>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</si>
  <si>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</si>
  <si>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</si>
  <si>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</si>
  <si>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</si>
  <si>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</si>
  <si>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</si>
  <si>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</si>
  <si>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</si>
  <si>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</si>
  <si>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</si>
  <si>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</si>
  <si>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</si>
  <si>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</si>
  <si>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</si>
  <si>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</si>
  <si>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</si>
  <si>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</si>
  <si>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</si>
  <si>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</si>
  <si>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</si>
  <si>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</si>
  <si>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</si>
  <si>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</si>
  <si>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</si>
  <si>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</si>
  <si>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</si>
  <si>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</si>
  <si>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</si>
  <si>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</si>
  <si>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</si>
  <si>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</si>
  <si>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</si>
  <si>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</si>
  <si>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</si>
  <si>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</si>
  <si>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</si>
  <si>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</si>
  <si>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</si>
  <si>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</si>
  <si>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</si>
  <si>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</si>
  <si>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</si>
  <si>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</si>
  <si>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</si>
  <si>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</si>
  <si>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</si>
  <si>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</si>
  <si>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</si>
  <si>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</si>
  <si>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</si>
  <si>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</si>
  <si>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</si>
  <si>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</si>
  <si>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</si>
  <si>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</si>
  <si>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</si>
  <si>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</si>
  <si>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</si>
  <si>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</si>
  <si>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</si>
  <si>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</si>
  <si>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</si>
  <si>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</si>
  <si>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</si>
  <si>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</si>
  <si>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</si>
  <si>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</si>
  <si>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</si>
  <si>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</si>
  <si>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</si>
  <si>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</si>
  <si>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</si>
  <si>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</si>
  <si>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</si>
  <si>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</si>
  <si>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</si>
  <si>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</si>
  <si>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</si>
  <si>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</si>
  <si>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</si>
  <si>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</si>
  <si>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</si>
  <si>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</si>
  <si>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</si>
  <si>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</si>
  <si>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</si>
  <si>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</si>
  <si>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</si>
  <si>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</si>
  <si>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</si>
  <si>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</si>
  <si>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</si>
  <si>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</si>
  <si>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</si>
  <si>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</si>
  <si>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</si>
  <si>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</si>
  <si>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</si>
  <si>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</si>
  <si>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</si>
  <si>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</si>
  <si>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</si>
  <si>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</si>
  <si>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</si>
  <si>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</si>
  <si>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</si>
  <si>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</si>
  <si>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</si>
  <si>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</si>
  <si>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</si>
  <si>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</si>
  <si>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</si>
  <si>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</si>
  <si>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</si>
  <si>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</si>
  <si>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</si>
  <si>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</si>
  <si>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</si>
  <si>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</si>
  <si>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</si>
  <si>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</si>
  <si>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</si>
  <si>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</si>
  <si>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</si>
  <si>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</si>
  <si>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</si>
  <si>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</si>
  <si>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</si>
  <si>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</si>
  <si>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</si>
  <si>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</si>
  <si>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</si>
  <si>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</si>
  <si>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</si>
  <si>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</si>
  <si>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</si>
  <si>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</si>
  <si>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</si>
  <si>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</si>
  <si>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</si>
  <si>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</si>
  <si>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</si>
  <si>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</si>
  <si>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</si>
  <si>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</si>
  <si>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</si>
  <si>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</si>
  <si>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</si>
  <si>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</si>
  <si>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</si>
  <si>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</si>
  <si>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</si>
  <si>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</si>
  <si>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</si>
  <si>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</si>
  <si>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</si>
  <si>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</si>
  <si>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</si>
  <si>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</si>
  <si>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</si>
  <si>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</si>
  <si>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</si>
  <si>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</si>
  <si>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</si>
  <si>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</si>
  <si>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</si>
  <si>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</si>
  <si>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</si>
  <si>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</si>
  <si>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</si>
  <si>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</si>
  <si>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</si>
  <si>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</si>
  <si>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</si>
  <si>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</si>
  <si>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</si>
  <si>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</si>
  <si>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</si>
  <si>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</si>
  <si>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</si>
  <si>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</si>
  <si>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</si>
  <si>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</si>
  <si>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</si>
  <si>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</si>
  <si>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</si>
  <si>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</si>
  <si>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</si>
  <si>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</si>
  <si>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</si>
  <si>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</si>
  <si>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</si>
  <si>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</si>
  <si>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</si>
  <si>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</si>
  <si>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</si>
  <si>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</si>
  <si>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</si>
  <si>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</si>
  <si>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</si>
  <si>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</si>
  <si>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</si>
  <si>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</si>
  <si>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</si>
  <si>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</si>
  <si>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</si>
  <si>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</si>
  <si>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</si>
  <si>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</si>
  <si>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</si>
  <si>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</si>
  <si>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</si>
  <si>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</si>
  <si>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</si>
  <si>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</si>
  <si>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</si>
  <si>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</si>
  <si>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</si>
  <si>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</si>
  <si>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</si>
  <si>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</si>
  <si>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</si>
  <si>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</si>
  <si>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</si>
  <si>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</si>
  <si>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</si>
  <si>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</si>
  <si>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</si>
  <si>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</si>
  <si>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</si>
  <si>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</si>
  <si>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</si>
  <si>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</si>
  <si>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</si>
  <si>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</si>
  <si>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</si>
  <si>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</si>
  <si>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</si>
  <si>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</si>
  <si>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</si>
  <si>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</si>
  <si>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</si>
  <si>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</si>
  <si>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</si>
  <si>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</si>
  <si>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</si>
  <si>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</si>
  <si>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</si>
  <si>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</si>
  <si>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</si>
  <si>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</si>
  <si>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</si>
  <si>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</si>
  <si>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</si>
  <si>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</si>
  <si>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</si>
  <si>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</si>
  <si>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</si>
  <si>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</si>
  <si>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</si>
  <si>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</si>
  <si>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</si>
  <si>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</si>
  <si>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</si>
  <si>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</si>
  <si>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</si>
  <si>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</si>
  <si>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</si>
  <si>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</si>
  <si>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</si>
  <si>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</si>
  <si>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</si>
  <si>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</si>
  <si>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</si>
  <si>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</si>
  <si>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</si>
  <si>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</si>
  <si>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</si>
  <si>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</si>
  <si>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</si>
  <si>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</si>
  <si>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</si>
  <si>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</si>
  <si>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</si>
  <si>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</si>
  <si>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</si>
  <si>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</si>
  <si>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</si>
  <si>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</si>
  <si>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</si>
  <si>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</si>
  <si>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</si>
  <si>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</si>
  <si>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</si>
  <si>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</si>
  <si>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</si>
  <si>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</si>
  <si>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</si>
  <si>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</si>
  <si>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</si>
  <si>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</si>
  <si>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</si>
  <si>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</si>
  <si>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</si>
  <si>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</si>
  <si>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</si>
  <si>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</si>
  <si>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</si>
  <si>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</si>
  <si>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</si>
  <si>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</si>
  <si>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</si>
  <si>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</si>
  <si>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</si>
  <si>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</si>
  <si>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</si>
  <si>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</si>
  <si>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</si>
  <si>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</si>
  <si>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</si>
  <si>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</si>
  <si>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</si>
  <si>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</si>
  <si>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</si>
  <si>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</si>
  <si>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</si>
  <si>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</si>
  <si>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</si>
  <si>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</si>
  <si>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</si>
  <si>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</si>
  <si>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</si>
  <si>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</si>
  <si>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</si>
  <si>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</si>
  <si>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</si>
  <si>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</si>
  <si>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</si>
  <si>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</si>
  <si>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</si>
  <si>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</si>
  <si>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</si>
  <si>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</si>
  <si>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</si>
  <si>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</si>
  <si>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</si>
  <si>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</si>
  <si>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</si>
  <si>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</si>
  <si>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</si>
  <si>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</si>
  <si>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</si>
  <si>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</si>
  <si>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</si>
  <si>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</si>
  <si>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</si>
  <si>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</si>
  <si>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</si>
  <si>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</si>
  <si>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</si>
  <si>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</si>
  <si>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</si>
  <si>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</si>
  <si>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</si>
  <si>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</si>
  <si>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</si>
  <si>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</si>
  <si>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</si>
  <si>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</si>
  <si>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</si>
  <si>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</si>
  <si>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</si>
  <si>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</si>
  <si>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</si>
  <si>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</si>
  <si>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</si>
  <si>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</si>
  <si>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</si>
  <si>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</si>
  <si>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</si>
  <si>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</si>
  <si>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</si>
  <si>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</si>
  <si>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</si>
  <si>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</si>
  <si>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</si>
  <si>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</si>
  <si>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</si>
  <si>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</si>
  <si>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</si>
  <si>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</si>
  <si>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</si>
  <si>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</si>
  <si>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</si>
  <si>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</si>
  <si>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</si>
  <si>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</si>
  <si>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</si>
  <si>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</si>
  <si>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</si>
  <si>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</si>
  <si>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</si>
  <si>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</si>
  <si>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</si>
  <si>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</si>
  <si>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</si>
  <si>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</si>
  <si>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</si>
  <si>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</si>
  <si>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</si>
  <si>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</si>
  <si>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</si>
  <si>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</si>
  <si>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</si>
  <si>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</si>
  <si>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</si>
  <si>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</si>
  <si>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</si>
  <si>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</si>
  <si>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</si>
  <si>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</si>
  <si>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</si>
  <si>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</si>
  <si>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</si>
  <si>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</si>
  <si>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</si>
  <si>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</si>
  <si>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</si>
  <si>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</si>
  <si>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</si>
  <si>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</si>
  <si>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</si>
  <si>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</si>
  <si>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</si>
  <si>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</si>
  <si>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</si>
  <si>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</si>
  <si>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</si>
  <si>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</si>
  <si>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</si>
  <si>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</si>
  <si>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</si>
  <si>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</si>
  <si>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</si>
  <si>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</si>
  <si>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</si>
  <si>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</si>
  <si>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</si>
  <si>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</si>
  <si>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</si>
  <si>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</si>
  <si>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</si>
  <si>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</si>
  <si>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</si>
  <si>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</si>
  <si>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</si>
  <si>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</si>
  <si>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</si>
  <si>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</si>
  <si>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</si>
  <si>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</si>
  <si>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</si>
  <si>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</si>
  <si>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</si>
  <si>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</si>
  <si>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</si>
  <si>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</si>
  <si>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</si>
  <si>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</si>
  <si>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</si>
  <si>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</si>
  <si>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</si>
  <si>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</si>
  <si>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</si>
  <si>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</si>
  <si>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</si>
  <si>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</si>
  <si>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</si>
  <si>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</si>
  <si>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</si>
  <si>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</si>
  <si>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</si>
  <si>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</si>
  <si>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</si>
  <si>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</si>
  <si>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</si>
  <si>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</si>
  <si>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</si>
  <si>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</si>
  <si>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</si>
  <si>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</si>
  <si>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</si>
  <si>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</si>
  <si>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</si>
  <si>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</si>
  <si>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</si>
  <si>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</si>
  <si>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</si>
  <si>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</si>
  <si>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</si>
  <si>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</si>
  <si>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</si>
  <si>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</si>
  <si>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</si>
  <si>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</si>
  <si>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</si>
  <si>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</si>
  <si>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</si>
  <si>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</si>
  <si>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</si>
  <si>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</si>
  <si>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</si>
  <si>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</si>
  <si>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</si>
  <si>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</si>
  <si>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</si>
  <si>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</si>
  <si>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</si>
  <si>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</si>
  <si>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</si>
  <si>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</si>
  <si>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</si>
  <si>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</si>
  <si>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</si>
  <si>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</si>
  <si>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</si>
  <si>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</si>
  <si>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</si>
  <si>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</si>
  <si>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</si>
  <si>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</si>
  <si>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</si>
  <si>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</si>
  <si>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</si>
  <si>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</si>
  <si>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</si>
  <si>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</si>
  <si>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</si>
  <si>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</si>
  <si>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</si>
  <si>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</si>
  <si>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</si>
  <si>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</si>
  <si>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</si>
  <si>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</si>
  <si>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</si>
  <si>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</si>
  <si>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</si>
  <si>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</si>
  <si>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</si>
  <si>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</si>
  <si>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</si>
  <si>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</si>
  <si>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</si>
  <si>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</si>
  <si>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</si>
  <si>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</si>
  <si>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</si>
  <si>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</si>
  <si>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</si>
  <si>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</si>
  <si>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</si>
  <si>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</si>
  <si>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</si>
  <si>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</si>
  <si>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</si>
  <si>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</si>
  <si>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</si>
  <si>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</si>
  <si>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</si>
  <si>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</si>
  <si>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</si>
  <si>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</si>
  <si>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</si>
  <si>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</si>
  <si>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</si>
  <si>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</si>
  <si>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</si>
  <si>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</si>
  <si>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</si>
  <si>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</si>
  <si>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</si>
  <si>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</si>
  <si>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</si>
  <si>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</si>
  <si>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</si>
  <si>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</si>
  <si>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</si>
  <si>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</si>
  <si>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</si>
  <si>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</si>
  <si>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</si>
  <si>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</si>
  <si>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</si>
  <si>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</si>
  <si>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</si>
  <si>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</si>
  <si>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</si>
  <si>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</si>
  <si>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</si>
  <si>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</si>
  <si>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</si>
  <si>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</si>
  <si>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</si>
  <si>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</si>
  <si>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</si>
  <si>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</si>
  <si>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</si>
  <si>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</si>
  <si>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</si>
  <si>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</si>
  <si>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</si>
  <si>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</si>
  <si>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</si>
  <si>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</si>
  <si>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</si>
  <si>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</si>
  <si>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</si>
  <si>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</si>
  <si>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</si>
  <si>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</si>
  <si>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</si>
  <si>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</si>
  <si>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</si>
  <si>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</si>
  <si>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</si>
  <si>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</si>
  <si>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</si>
  <si>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</si>
  <si>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</si>
  <si>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</si>
  <si>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</si>
  <si>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</si>
  <si>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</si>
  <si>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</si>
  <si>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</si>
  <si>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</si>
  <si>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</si>
  <si>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</si>
  <si>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</si>
  <si>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</si>
  <si>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</si>
  <si>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</si>
  <si>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</si>
  <si>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</si>
  <si>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</si>
  <si>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</si>
  <si>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</si>
  <si>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</si>
  <si>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</si>
  <si>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</si>
  <si>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</si>
  <si>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</si>
  <si>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</si>
  <si>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</si>
  <si>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</si>
  <si>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</si>
  <si>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</si>
  <si>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</si>
  <si>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</si>
  <si>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</si>
  <si>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</si>
  <si>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</si>
  <si>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</si>
  <si>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</si>
  <si>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</si>
  <si>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</si>
  <si>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</si>
  <si>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</si>
  <si>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</si>
  <si>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</si>
  <si>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</si>
  <si>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</si>
  <si>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</si>
  <si>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</si>
  <si>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</si>
  <si>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</si>
  <si>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</si>
  <si>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</si>
  <si>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</si>
  <si>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</si>
  <si>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</si>
  <si>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</si>
  <si>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</si>
  <si>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</si>
  <si>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</si>
  <si>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</si>
  <si>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</si>
  <si>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</si>
  <si>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</si>
  <si>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</si>
  <si>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</si>
  <si>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</si>
  <si>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</si>
  <si>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</si>
  <si>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</si>
  <si>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</si>
  <si>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</si>
  <si>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</si>
  <si>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</si>
  <si>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</si>
  <si>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</si>
  <si>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</si>
  <si>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</si>
  <si>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</si>
  <si>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</si>
  <si>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</si>
  <si>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</si>
  <si>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</si>
  <si>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</si>
  <si>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</si>
  <si>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</si>
  <si>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</si>
  <si>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</si>
  <si>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</si>
  <si>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</si>
  <si>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</si>
  <si>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</si>
  <si>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</si>
  <si>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</si>
  <si>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</si>
  <si>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</si>
  <si>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</si>
  <si>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</si>
  <si>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</si>
  <si>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</si>
  <si>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</si>
  <si>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</si>
  <si>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</si>
  <si>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</si>
  <si>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</si>
  <si>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</si>
  <si>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</si>
  <si>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</si>
  <si>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</si>
  <si>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</si>
  <si>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</si>
  <si>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</si>
  <si>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</si>
  <si>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</si>
  <si>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</si>
  <si>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</si>
  <si>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</si>
  <si>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</si>
  <si>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</si>
  <si>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</si>
  <si>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</si>
  <si>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</si>
  <si>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</si>
  <si>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</si>
  <si>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</si>
  <si>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</si>
  <si>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</si>
  <si>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</si>
  <si>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</si>
  <si>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</si>
  <si>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</si>
  <si>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</si>
  <si>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</si>
  <si>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</si>
  <si>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</si>
  <si>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</si>
  <si>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</si>
  <si>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</si>
  <si>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</si>
  <si>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</si>
  <si>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</si>
  <si>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</si>
  <si>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</si>
  <si>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</si>
  <si>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</si>
  <si>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</si>
  <si>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</si>
  <si>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</si>
  <si>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</si>
  <si>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</si>
  <si>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</si>
  <si>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</si>
  <si>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</si>
  <si>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</si>
  <si>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</si>
  <si>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</si>
  <si>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</si>
  <si>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</si>
  <si>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</si>
  <si>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</si>
  <si>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</si>
  <si>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</si>
  <si>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</si>
  <si>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</si>
  <si>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</si>
  <si>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</si>
  <si>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</si>
  <si>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</si>
  <si>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</si>
  <si>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</si>
  <si>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</si>
  <si>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</si>
  <si>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</si>
  <si>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</si>
  <si>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</si>
  <si>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</si>
  <si>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</si>
  <si>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</si>
  <si>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</si>
  <si>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</si>
  <si>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</si>
  <si>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</si>
  <si>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</si>
  <si>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</si>
  <si>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</si>
  <si>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</si>
  <si>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</si>
  <si>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</si>
  <si>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</si>
  <si>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</si>
  <si>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</si>
  <si>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</si>
  <si>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</si>
  <si>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</si>
  <si>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</si>
  <si>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</si>
  <si>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</si>
  <si>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</si>
  <si>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</si>
  <si>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</si>
  <si>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</si>
  <si>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</si>
  <si>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</si>
  <si>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</si>
  <si>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</si>
  <si>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</si>
  <si>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</si>
  <si>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</si>
  <si>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</si>
  <si>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</si>
  <si>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</si>
  <si>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</si>
  <si>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</si>
  <si>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</si>
  <si>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</si>
  <si>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</si>
  <si>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</si>
  <si>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</si>
  <si>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</si>
  <si>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</si>
  <si>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</si>
  <si>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</si>
  <si>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</si>
  <si>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</si>
  <si>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</si>
  <si>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</si>
  <si>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</si>
  <si>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</si>
  <si>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</si>
  <si>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</si>
  <si>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</si>
  <si>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</si>
  <si>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</si>
  <si>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</si>
  <si>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</si>
  <si>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</si>
  <si>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</si>
  <si>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</si>
  <si>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</si>
  <si>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</si>
  <si>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</si>
  <si>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</si>
  <si>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</si>
  <si>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</si>
  <si>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</si>
  <si>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</si>
  <si>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</si>
  <si>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</si>
  <si>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</si>
  <si>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</si>
  <si>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</si>
  <si>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</si>
  <si>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</si>
  <si>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</si>
  <si>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</si>
  <si>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</si>
  <si>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</si>
  <si>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</si>
  <si>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</si>
  <si>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</si>
  <si>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</si>
  <si>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</si>
  <si>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</si>
  <si>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</si>
  <si>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</si>
  <si>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</si>
  <si>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</si>
  <si>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</si>
  <si>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</si>
  <si>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</si>
  <si>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</si>
  <si>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</si>
  <si>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</si>
  <si>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</si>
  <si>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</si>
  <si>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</si>
  <si>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</si>
  <si>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</si>
  <si>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</si>
  <si>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</si>
  <si>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</si>
  <si>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</si>
  <si>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</si>
  <si>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</si>
  <si>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</si>
  <si>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</si>
  <si>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</si>
  <si>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</si>
  <si>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</si>
  <si>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</si>
  <si>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</si>
  <si>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</si>
  <si>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</si>
  <si>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</si>
  <si>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</si>
  <si>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</si>
  <si>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</si>
  <si>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</si>
  <si>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</si>
  <si>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</si>
  <si>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</si>
  <si>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</si>
  <si>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</si>
  <si>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</si>
  <si>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</si>
  <si>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</si>
  <si>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</si>
  <si>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</si>
  <si>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</si>
  <si>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</si>
  <si>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</si>
  <si>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</si>
  <si>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</si>
  <si>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</si>
  <si>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</si>
  <si>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</si>
  <si>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</si>
  <si>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</si>
  <si>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</si>
  <si>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</si>
  <si>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</si>
  <si>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</si>
  <si>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</si>
  <si>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</si>
  <si>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</si>
  <si>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</si>
  <si>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</si>
  <si>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</si>
  <si>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</si>
  <si>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</si>
  <si>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</si>
  <si>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</si>
  <si>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</si>
  <si>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</si>
  <si>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</si>
  <si>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</si>
  <si>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</si>
  <si>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</si>
  <si>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</si>
  <si>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</si>
  <si>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</si>
  <si>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</si>
  <si>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</si>
  <si>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</si>
  <si>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</si>
  <si>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</si>
  <si>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</si>
  <si>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</si>
  <si>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</si>
  <si>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</si>
  <si>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</si>
  <si>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</si>
  <si>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</si>
  <si>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</si>
  <si>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</si>
  <si>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</si>
  <si>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</si>
  <si>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</si>
  <si>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</si>
  <si>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</si>
  <si>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</si>
  <si>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</si>
  <si>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</si>
  <si>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</si>
  <si>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</si>
  <si>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</si>
  <si>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</si>
  <si>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</si>
  <si>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</si>
  <si>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</si>
  <si>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</si>
  <si>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</si>
  <si>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</si>
  <si>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</si>
  <si>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</si>
  <si>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</si>
  <si>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</si>
  <si>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</si>
  <si>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</si>
  <si>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</si>
  <si>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</si>
  <si>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</si>
  <si>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</si>
  <si>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</si>
  <si>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</si>
  <si>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</si>
  <si>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</si>
  <si>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</si>
  <si>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</si>
  <si>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</si>
  <si>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</si>
  <si>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</si>
  <si>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</si>
  <si>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</si>
  <si>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</si>
  <si>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</si>
  <si>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</si>
  <si>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</si>
  <si>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</si>
  <si>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</si>
  <si>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</si>
  <si>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</si>
  <si>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</si>
  <si>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</si>
  <si>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</si>
  <si>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</si>
  <si>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</si>
  <si>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</si>
  <si>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</si>
  <si>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</si>
  <si>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</si>
  <si>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</si>
  <si>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</si>
  <si>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</si>
  <si>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</si>
  <si>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</si>
  <si>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</si>
  <si>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</si>
  <si>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</si>
  <si>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</si>
  <si>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</si>
  <si>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</si>
  <si>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</si>
  <si>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</si>
  <si>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</si>
  <si>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</si>
  <si>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</si>
  <si>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</si>
  <si>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</si>
  <si>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</si>
  <si>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</si>
  <si>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</si>
  <si>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</si>
  <si>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</si>
  <si>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</si>
  <si>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</si>
  <si>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</si>
  <si>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</si>
  <si>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</si>
  <si>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</si>
  <si>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</si>
  <si>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</si>
  <si>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</si>
  <si>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</si>
  <si>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</si>
  <si>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</si>
  <si>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</si>
  <si>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</si>
  <si>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</si>
  <si>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</si>
  <si>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</si>
  <si>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</si>
  <si>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</si>
  <si>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</si>
  <si>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</si>
  <si>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</si>
  <si>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</si>
  <si>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</si>
  <si>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</si>
  <si>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</si>
  <si>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</si>
  <si>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</si>
  <si>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</si>
  <si>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</si>
  <si>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</si>
  <si>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</si>
  <si>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</si>
  <si>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</si>
  <si>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</si>
  <si>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</si>
  <si>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</si>
  <si>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</si>
  <si>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</si>
  <si>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</si>
  <si>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</si>
  <si>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</si>
  <si>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</si>
  <si>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</si>
  <si>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</si>
  <si>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</si>
  <si>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</si>
  <si>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</si>
  <si>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</si>
  <si>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</si>
  <si>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</si>
  <si>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</si>
  <si>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</si>
  <si>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</si>
  <si>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</si>
  <si>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</si>
  <si>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</si>
  <si>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</si>
  <si>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</si>
  <si>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</si>
  <si>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</si>
  <si>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</si>
  <si>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</si>
  <si>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</si>
  <si>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</si>
  <si>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</si>
  <si>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</si>
  <si>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</si>
  <si>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</si>
  <si>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</si>
  <si>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</si>
  <si>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</si>
  <si>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</si>
  <si>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</si>
  <si>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</si>
  <si>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</si>
  <si>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</si>
  <si>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</si>
  <si>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</si>
  <si>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</si>
  <si>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</si>
  <si>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</si>
  <si>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</si>
  <si>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</si>
  <si>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</si>
  <si>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</si>
  <si>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</si>
  <si>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</si>
  <si>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</si>
  <si>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</si>
  <si>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</si>
  <si>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</si>
  <si>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</si>
  <si>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</si>
  <si>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</si>
  <si>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</si>
  <si>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</si>
  <si>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</si>
  <si>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</si>
  <si>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</si>
  <si>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</si>
  <si>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</si>
  <si>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</si>
  <si>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</si>
  <si>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</si>
  <si>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</si>
  <si>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</si>
  <si>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</si>
  <si>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</si>
  <si>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</si>
  <si>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</si>
  <si>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</si>
  <si>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</si>
  <si>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</si>
  <si>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</si>
  <si>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</si>
  <si>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</si>
  <si>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</si>
  <si>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</si>
  <si>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</si>
  <si>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</si>
  <si>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</si>
  <si>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</si>
  <si>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</si>
  <si>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</si>
  <si>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</si>
  <si>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</si>
  <si>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</si>
  <si>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</si>
  <si>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</si>
  <si>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</si>
  <si>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</si>
  <si>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</si>
  <si>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</si>
  <si>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</si>
  <si>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</si>
  <si>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</si>
  <si>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</si>
  <si>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</si>
  <si>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</si>
  <si>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</si>
  <si>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</si>
  <si>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</si>
  <si>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</si>
  <si>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</si>
  <si>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</si>
  <si>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</si>
  <si>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</si>
  <si>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</si>
  <si>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</si>
  <si>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</si>
  <si>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</si>
  <si>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</si>
  <si>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</si>
  <si>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</si>
  <si>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</si>
  <si>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</si>
  <si>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</si>
  <si>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</si>
  <si>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</si>
  <si>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</si>
  <si>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</si>
  <si>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</si>
  <si>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</si>
  <si>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</si>
  <si>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</si>
  <si>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</si>
  <si>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</si>
  <si>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</si>
  <si>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</si>
  <si>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</si>
  <si>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</si>
  <si>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</si>
  <si>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</si>
  <si>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</si>
  <si>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</si>
  <si>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</si>
  <si>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</si>
  <si>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</si>
  <si>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</si>
  <si>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</si>
  <si>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</si>
  <si>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</si>
  <si>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</si>
  <si>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</si>
  <si>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</si>
  <si>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</si>
  <si>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</si>
  <si>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</si>
  <si>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</si>
  <si>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</si>
  <si>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</si>
  <si>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</si>
  <si>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</si>
  <si>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</si>
  <si>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</si>
  <si>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</si>
  <si>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</si>
  <si>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</si>
  <si>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</si>
  <si>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</si>
  <si>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</si>
  <si>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</si>
  <si>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</si>
  <si>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</si>
  <si>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</si>
  <si>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</si>
  <si>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</si>
  <si>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</si>
  <si>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</si>
  <si>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</si>
  <si>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</si>
  <si>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</si>
  <si>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</si>
  <si>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</si>
  <si>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</si>
  <si>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</si>
  <si>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</si>
  <si>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</si>
  <si>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</si>
  <si>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</si>
  <si>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</si>
  <si>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</si>
  <si>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</si>
  <si>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</si>
  <si>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</si>
  <si>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</si>
  <si>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</si>
  <si>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</si>
  <si>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</si>
  <si>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</si>
  <si>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</si>
  <si>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</si>
  <si>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</si>
  <si>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</si>
  <si>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</si>
  <si>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</si>
  <si>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</si>
  <si>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</si>
  <si>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</si>
  <si>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</si>
  <si>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</si>
  <si>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</si>
  <si>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</si>
  <si>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</si>
  <si>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</si>
  <si>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</si>
  <si>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</si>
  <si>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</si>
  <si>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</si>
  <si>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</si>
  <si>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</si>
  <si>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</si>
  <si>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</si>
  <si>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</si>
  <si>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</si>
  <si>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</si>
  <si>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</si>
  <si>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</si>
  <si>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</si>
  <si>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</si>
  <si>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</si>
  <si>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</si>
  <si>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</si>
  <si>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</si>
  <si>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</si>
  <si>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</si>
  <si>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</si>
  <si>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</si>
  <si>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</si>
  <si>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</si>
  <si>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</si>
  <si>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</si>
  <si>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</si>
  <si>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</si>
  <si>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</si>
  <si>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</si>
  <si>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</si>
  <si>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</si>
  <si>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</si>
  <si>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</si>
  <si>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</si>
  <si>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</si>
  <si>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</si>
  <si>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</si>
  <si>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</si>
  <si>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</si>
  <si>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</si>
  <si>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</si>
  <si>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</si>
  <si>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</si>
  <si>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</si>
  <si>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</si>
  <si>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</si>
  <si>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</si>
  <si>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</si>
  <si>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</si>
  <si>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</si>
  <si>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</si>
  <si>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</si>
  <si>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</si>
  <si>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</si>
  <si>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</si>
  <si>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</si>
  <si>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</si>
  <si>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</si>
  <si>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</si>
  <si>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</si>
  <si>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</si>
  <si>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</si>
  <si>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</si>
  <si>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</si>
  <si>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</si>
  <si>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</si>
  <si>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</si>
  <si>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</si>
  <si>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</si>
  <si>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</si>
  <si>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</si>
  <si>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</si>
  <si>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</si>
  <si>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</si>
  <si>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</si>
  <si>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</si>
  <si>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</si>
  <si>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</si>
  <si>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</si>
  <si>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</si>
  <si>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</si>
  <si>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</si>
  <si>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</si>
  <si>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</si>
  <si>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</si>
  <si>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</si>
  <si>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</si>
  <si>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</si>
  <si>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</si>
  <si>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</si>
  <si>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</si>
  <si>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</si>
  <si>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</si>
  <si>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</si>
  <si>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</si>
  <si>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</si>
  <si>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</si>
  <si>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</si>
  <si>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</si>
  <si>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</si>
  <si>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</si>
  <si>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</si>
  <si>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</si>
  <si>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</si>
  <si>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</si>
  <si>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</si>
  <si>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</si>
  <si>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</si>
  <si>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</si>
  <si>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</si>
  <si>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</si>
  <si>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</si>
  <si>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</si>
  <si>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</si>
  <si>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</si>
  <si>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</si>
  <si>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</si>
  <si>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</si>
  <si>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</si>
  <si>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</si>
  <si>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</si>
  <si>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</si>
  <si>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</si>
  <si>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</si>
  <si>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</si>
  <si>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</si>
  <si>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</si>
  <si>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</si>
  <si>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</si>
  <si>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</si>
  <si>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</si>
  <si>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</si>
  <si>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</si>
  <si>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</si>
  <si>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</si>
  <si>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</si>
  <si>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</si>
  <si>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</si>
  <si>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</si>
  <si>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</si>
  <si>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</si>
  <si>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</si>
  <si>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</si>
  <si>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</si>
  <si>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</si>
  <si>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</si>
  <si>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</si>
  <si>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</si>
  <si>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</si>
  <si>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</si>
  <si>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</si>
  <si>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</si>
  <si>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</si>
  <si>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</si>
  <si>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</si>
  <si>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</si>
  <si>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</si>
  <si>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</si>
  <si>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</si>
  <si>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</si>
  <si>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</si>
  <si>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</si>
  <si>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</si>
  <si>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</si>
  <si>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</si>
  <si>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</si>
  <si>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</si>
  <si>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</si>
  <si>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</si>
  <si>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</si>
  <si>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</si>
  <si>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</si>
  <si>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</si>
  <si>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</si>
  <si>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</si>
  <si>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</si>
  <si>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</si>
  <si>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</si>
  <si>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</si>
  <si>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</si>
  <si>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</si>
  <si>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</si>
  <si>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</si>
  <si>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</si>
  <si>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</si>
  <si>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</si>
  <si>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</si>
  <si>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</si>
  <si>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</si>
  <si>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</si>
  <si>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</si>
  <si>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</si>
  <si>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</si>
  <si>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</si>
  <si>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</si>
  <si>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</si>
  <si>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</si>
  <si>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</si>
  <si>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</si>
  <si>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</si>
  <si>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</si>
  <si>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</si>
  <si>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</si>
  <si>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</si>
  <si>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</si>
  <si>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</si>
  <si>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</si>
  <si>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</si>
  <si>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</si>
  <si>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</si>
  <si>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</si>
  <si>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</si>
  <si>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</si>
  <si>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</si>
  <si>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</si>
  <si>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</si>
  <si>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</si>
  <si>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</si>
  <si>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</si>
  <si>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</si>
  <si>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</si>
  <si>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</si>
  <si>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</si>
  <si>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</si>
  <si>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</si>
  <si>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</si>
  <si>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</si>
  <si>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</si>
  <si>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</si>
  <si>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</si>
  <si>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</si>
  <si>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</si>
  <si>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</si>
  <si>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</si>
  <si>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</si>
  <si>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</si>
  <si>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</si>
  <si>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</si>
  <si>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</si>
  <si>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</si>
  <si>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</si>
  <si>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</si>
  <si>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</si>
  <si>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</si>
  <si>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</si>
  <si>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</si>
  <si>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</si>
  <si>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</si>
  <si>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</si>
  <si>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</si>
  <si>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</si>
  <si>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</si>
  <si>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</si>
  <si>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</si>
  <si>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</si>
  <si>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</si>
  <si>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</si>
  <si>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</si>
  <si>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</si>
  <si>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</si>
  <si>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</si>
  <si>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</si>
  <si>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</si>
  <si>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</si>
  <si>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</si>
  <si>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</si>
  <si>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</si>
  <si>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</si>
  <si>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</si>
  <si>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</si>
  <si>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</si>
  <si>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</si>
  <si>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</si>
  <si>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</si>
  <si>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</si>
  <si>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</si>
  <si>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</si>
  <si>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</si>
  <si>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</si>
  <si>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</si>
  <si>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</si>
  <si>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</si>
  <si>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</si>
  <si>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</si>
  <si>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</si>
  <si>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</si>
  <si>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</si>
  <si>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</si>
  <si>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</si>
  <si>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</si>
  <si>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</si>
  <si>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</si>
  <si>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</si>
  <si>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</si>
  <si>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</si>
  <si>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</si>
  <si>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</si>
  <si>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</si>
  <si>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</si>
  <si>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</si>
  <si>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</si>
  <si>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</si>
  <si>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</si>
  <si>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</si>
  <si>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</si>
  <si>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</si>
  <si>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</si>
  <si>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</si>
  <si>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</si>
  <si>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</si>
  <si>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</si>
  <si>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</si>
  <si>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</si>
  <si>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</si>
  <si>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</si>
  <si>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</si>
  <si>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</si>
  <si>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</si>
  <si>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</si>
  <si>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</si>
  <si>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</si>
  <si>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</si>
  <si>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</si>
  <si>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</si>
  <si>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</si>
  <si>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</si>
  <si>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</si>
  <si>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</si>
  <si>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</si>
  <si>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</si>
  <si>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</si>
  <si>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</si>
  <si>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</si>
  <si>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</si>
  <si>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</si>
  <si>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</si>
  <si>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</si>
  <si>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</si>
  <si>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</si>
  <si>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</si>
  <si>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</si>
  <si>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</si>
  <si>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</si>
  <si>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</si>
  <si>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</si>
  <si>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</si>
  <si>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</si>
  <si>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</si>
  <si>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</si>
  <si>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</si>
  <si>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</si>
  <si>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</si>
  <si>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</si>
  <si>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</si>
  <si>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</si>
  <si>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</si>
  <si>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</si>
  <si>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</si>
  <si>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</si>
  <si>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</si>
  <si>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</si>
  <si>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</si>
  <si>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</si>
  <si>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</si>
  <si>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</si>
  <si>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</si>
  <si>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</si>
  <si>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</si>
  <si>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</si>
  <si>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</si>
  <si>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</si>
  <si>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</si>
  <si>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</si>
  <si>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</si>
  <si>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</si>
  <si>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</si>
  <si>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</si>
  <si>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</si>
  <si>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</si>
  <si>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</si>
  <si>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</si>
  <si>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</si>
  <si>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</si>
  <si>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</si>
  <si>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</si>
  <si>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</si>
  <si>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</si>
  <si>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</si>
  <si>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</si>
  <si>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</si>
  <si>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</si>
  <si>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</si>
  <si>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</si>
  <si>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</si>
  <si>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</si>
  <si>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</si>
  <si>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</si>
  <si>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</si>
  <si>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</si>
  <si>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</si>
  <si>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</si>
  <si>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</si>
  <si>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</si>
  <si>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</si>
  <si>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</si>
  <si>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</si>
  <si>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</si>
  <si>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</si>
  <si>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</si>
  <si>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</si>
  <si>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</si>
  <si>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</si>
  <si>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</si>
  <si>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</si>
  <si>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</si>
  <si>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</si>
  <si>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</si>
  <si>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</si>
  <si>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</si>
  <si>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</si>
  <si>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</si>
  <si>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</si>
  <si>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</si>
  <si>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</si>
  <si>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</si>
  <si>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</si>
  <si>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</si>
  <si>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</si>
  <si>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</si>
  <si>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</si>
  <si>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</si>
  <si>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</si>
  <si>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</si>
  <si>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</si>
  <si>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</si>
  <si>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</si>
  <si>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</si>
  <si>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</si>
  <si>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</si>
  <si>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</si>
  <si>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</si>
  <si>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</si>
  <si>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</si>
  <si>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</si>
  <si>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</si>
  <si>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</si>
  <si>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</si>
  <si>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</si>
  <si>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</si>
  <si>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</si>
  <si>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</si>
  <si>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</si>
  <si>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</si>
  <si>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</si>
  <si>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</si>
  <si>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</si>
  <si>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</si>
  <si>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</si>
  <si>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</si>
  <si>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</si>
  <si>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</si>
  <si>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</si>
  <si>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</si>
  <si>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</si>
  <si>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</si>
  <si>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</si>
  <si>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</si>
  <si>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</si>
  <si>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</si>
  <si>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</si>
  <si>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</si>
  <si>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</si>
  <si>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</si>
  <si>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</si>
  <si>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</si>
  <si>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</si>
  <si>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</si>
  <si>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</si>
  <si>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</si>
  <si>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</si>
  <si>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</si>
  <si>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</si>
  <si>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</si>
  <si>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</si>
  <si>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</si>
  <si>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</si>
  <si>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</si>
  <si>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</si>
  <si>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</si>
  <si>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</si>
  <si>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</si>
  <si>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</si>
  <si>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</si>
  <si>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</si>
  <si>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</si>
  <si>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</si>
  <si>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</si>
  <si>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</si>
  <si>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</si>
  <si>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</si>
  <si>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</si>
  <si>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</si>
  <si>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</si>
  <si>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</si>
  <si>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</si>
  <si>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</si>
  <si>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</si>
  <si>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</si>
  <si>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</si>
  <si>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</si>
  <si>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</si>
  <si>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</si>
  <si>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</si>
  <si>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</si>
  <si>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</si>
  <si>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</si>
  <si>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</si>
  <si>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</si>
  <si>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</si>
  <si>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</si>
  <si>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</si>
  <si>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</si>
  <si>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</si>
  <si>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</si>
  <si>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</si>
  <si>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</si>
  <si>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</si>
  <si>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</si>
  <si>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</si>
  <si>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</si>
  <si>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</si>
  <si>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</si>
  <si>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</si>
  <si>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</si>
  <si>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</si>
  <si>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</si>
  <si>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</si>
  <si>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</si>
  <si>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</si>
  <si>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</si>
  <si>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</si>
  <si>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</si>
  <si>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</si>
  <si>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</si>
  <si>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</si>
  <si>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</si>
  <si>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</si>
  <si>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</si>
  <si>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</si>
  <si>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</si>
  <si>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</si>
  <si>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</si>
  <si>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</si>
  <si>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</si>
  <si>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</si>
  <si>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</si>
  <si>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</si>
  <si>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</si>
  <si>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</si>
  <si>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</si>
  <si>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</si>
  <si>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</si>
  <si>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</si>
  <si>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</si>
  <si>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</si>
  <si>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</si>
  <si>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</si>
  <si>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</si>
  <si>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</si>
  <si>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</si>
  <si>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</si>
  <si>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</si>
  <si>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</si>
  <si>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</si>
  <si>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</si>
  <si>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</si>
  <si>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</si>
  <si>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</si>
  <si>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</si>
  <si>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</si>
  <si>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</si>
  <si>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</si>
  <si>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</si>
  <si>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</si>
  <si>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</si>
  <si>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</si>
  <si>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</si>
  <si>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</si>
  <si>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</si>
  <si>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</si>
  <si>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</si>
  <si>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</si>
  <si>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</si>
  <si>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</si>
  <si>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</si>
  <si>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</si>
  <si>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</si>
  <si>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</si>
  <si>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</si>
  <si>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</si>
  <si>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</si>
  <si>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</si>
  <si>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</si>
  <si>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</si>
  <si>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</si>
  <si>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</si>
  <si>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</si>
  <si>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</si>
  <si>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</si>
  <si>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</si>
  <si>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</si>
  <si>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</si>
  <si>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</si>
  <si>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</si>
  <si>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</si>
  <si>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</si>
  <si>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</si>
  <si>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</si>
  <si>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</si>
  <si>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</si>
  <si>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</si>
  <si>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</si>
  <si>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</si>
  <si>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</si>
  <si>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</si>
  <si>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</si>
  <si>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</si>
  <si>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</si>
  <si>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</si>
  <si>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</si>
  <si>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</si>
  <si>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</si>
  <si>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</si>
  <si>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</si>
  <si>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</si>
  <si>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</si>
  <si>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</si>
  <si>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</si>
  <si>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</si>
  <si>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</si>
  <si>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</si>
  <si>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</si>
  <si>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</si>
  <si>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</si>
  <si>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</si>
  <si>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</si>
  <si>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</si>
  <si>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</si>
  <si>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</si>
  <si>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</si>
  <si>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</si>
  <si>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</si>
  <si>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</si>
  <si>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</si>
  <si>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</si>
  <si>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</si>
  <si>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</si>
  <si>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</si>
  <si>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</si>
  <si>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</si>
  <si>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</si>
  <si>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</si>
  <si>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</si>
  <si>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</si>
  <si>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</si>
  <si>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</si>
  <si>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</si>
  <si>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</si>
  <si>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</si>
  <si>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</si>
  <si>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</si>
  <si>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</si>
  <si>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</si>
  <si>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</si>
  <si>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</si>
  <si>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</si>
  <si>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</si>
  <si>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</si>
  <si>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</si>
  <si>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</si>
  <si>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</si>
  <si>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</si>
  <si>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</si>
  <si>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</si>
  <si>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</si>
  <si>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</si>
  <si>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</si>
  <si>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</si>
  <si>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</si>
  <si>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</si>
  <si>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</si>
  <si>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</si>
  <si>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</si>
  <si>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</si>
  <si>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</si>
  <si>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</si>
  <si>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</si>
  <si>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</si>
  <si>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</si>
  <si>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</si>
  <si>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</si>
  <si>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</si>
  <si>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</si>
  <si>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</si>
  <si>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</si>
  <si>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</si>
  <si>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</si>
  <si>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</si>
  <si>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</si>
  <si>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</si>
  <si>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</si>
  <si>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</si>
  <si>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</si>
  <si>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</si>
  <si>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</si>
  <si>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</si>
  <si>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</si>
  <si>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</si>
  <si>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</si>
  <si>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</si>
  <si>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</si>
  <si>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</si>
  <si>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</si>
  <si>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</si>
  <si>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</si>
  <si>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</si>
  <si>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</si>
  <si>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</si>
  <si>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</si>
  <si>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</si>
  <si>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</si>
  <si>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</si>
  <si>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</si>
  <si>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</si>
  <si>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</si>
  <si>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</si>
  <si>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</si>
  <si>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</si>
  <si>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</si>
  <si>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</si>
  <si>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</si>
  <si>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</si>
  <si>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</si>
  <si>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</si>
  <si>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</si>
  <si>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</si>
  <si>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</si>
  <si>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</si>
  <si>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</si>
  <si>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</si>
  <si>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</si>
  <si>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</si>
  <si>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</si>
  <si>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</si>
  <si>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</si>
  <si>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</si>
  <si>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</si>
  <si>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</si>
  <si>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</si>
  <si>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</si>
  <si>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</si>
  <si>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</si>
  <si>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</si>
  <si>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</si>
  <si>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</si>
  <si>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</si>
  <si>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</si>
  <si>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</si>
  <si>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</si>
  <si>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</si>
  <si>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</si>
  <si>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</si>
  <si>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</si>
  <si>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</si>
  <si>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</si>
  <si>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</si>
  <si>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</si>
  <si>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</si>
  <si>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</si>
  <si>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</si>
  <si>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</si>
  <si>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</si>
  <si>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</si>
  <si>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</si>
  <si>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</si>
  <si>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</si>
  <si>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</si>
  <si>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</si>
  <si>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</si>
  <si>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</si>
  <si>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</si>
  <si>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</si>
  <si>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</si>
  <si>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</si>
  <si>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</si>
  <si>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</si>
  <si>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</si>
  <si>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</si>
  <si>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</si>
  <si>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</si>
  <si>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</si>
  <si>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</si>
  <si>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</si>
  <si>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</si>
  <si>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</si>
  <si>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</si>
  <si>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</si>
  <si>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</si>
  <si>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</si>
  <si>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</si>
  <si>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</si>
  <si>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</si>
  <si>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</si>
  <si>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</si>
  <si>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</si>
  <si>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</si>
  <si>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</si>
  <si>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</si>
  <si>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</si>
  <si>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</si>
  <si>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</si>
  <si>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</si>
  <si>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</si>
  <si>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</si>
  <si>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</si>
  <si>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</si>
  <si>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</si>
  <si>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</si>
  <si>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</si>
  <si>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</si>
  <si>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</si>
  <si>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</si>
  <si>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</si>
  <si>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</si>
  <si>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</si>
  <si>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</si>
  <si>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</si>
  <si>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</si>
  <si>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</si>
  <si>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</si>
  <si>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</si>
  <si>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</si>
  <si>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</si>
  <si>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</si>
  <si>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</si>
  <si>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</si>
  <si>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</si>
  <si>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</si>
  <si>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</si>
  <si>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</si>
  <si>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</si>
  <si>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</si>
  <si>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</si>
  <si>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</si>
  <si>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</si>
  <si>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</si>
  <si>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</si>
  <si>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</si>
  <si>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</si>
  <si>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</si>
  <si>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</si>
  <si>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</si>
  <si>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</si>
  <si>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</si>
  <si>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</si>
  <si>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</si>
  <si>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</si>
  <si>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</si>
  <si>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</si>
  <si>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</si>
  <si>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</si>
  <si>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</si>
  <si>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</si>
  <si>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</si>
  <si>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</si>
  <si>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</si>
  <si>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</si>
  <si>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</si>
  <si>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</si>
  <si>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</si>
  <si>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</si>
  <si>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</si>
  <si>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</si>
  <si>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</si>
  <si>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</si>
  <si>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</si>
  <si>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</si>
  <si>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</si>
  <si>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</si>
  <si>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</si>
  <si>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</si>
  <si>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</si>
  <si>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</si>
  <si>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</si>
  <si>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</si>
  <si>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</si>
  <si>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</si>
  <si>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</si>
  <si>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</si>
  <si>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</si>
  <si>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</si>
  <si>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</si>
  <si>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</si>
  <si>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</si>
  <si>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</si>
  <si>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</si>
  <si>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</si>
  <si>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</si>
  <si>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</si>
  <si>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</si>
  <si>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</si>
  <si>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</si>
  <si>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</si>
  <si>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</si>
  <si>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</si>
  <si>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</si>
  <si>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</si>
  <si>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</si>
  <si>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</si>
  <si>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</si>
  <si>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</si>
  <si>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</si>
  <si>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</si>
  <si>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</si>
  <si>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</si>
  <si>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</si>
  <si>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</si>
  <si>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</si>
  <si>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</si>
  <si>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</si>
  <si>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</si>
  <si>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</si>
  <si>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</si>
  <si>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</si>
  <si>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</si>
  <si>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</si>
  <si>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</si>
  <si>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</si>
  <si>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</si>
  <si>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</si>
  <si>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</si>
  <si>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</si>
  <si>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</si>
  <si>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</si>
  <si>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</si>
  <si>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</si>
  <si>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</si>
  <si>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</si>
  <si>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</si>
  <si>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</si>
  <si>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</si>
  <si>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</si>
  <si>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</si>
  <si>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</si>
  <si>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</si>
  <si>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</si>
  <si>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</si>
  <si>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</si>
  <si>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</si>
  <si>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</si>
  <si>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</si>
  <si>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</si>
  <si>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</si>
  <si>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</si>
  <si>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</si>
  <si>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</si>
  <si>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</si>
  <si>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</si>
  <si>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</si>
  <si>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</si>
  <si>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</si>
  <si>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</si>
  <si>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</si>
  <si>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</si>
  <si>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</si>
  <si>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</si>
  <si>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</si>
  <si>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</si>
  <si>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</si>
  <si>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</si>
  <si>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</si>
  <si>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</si>
  <si>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</si>
  <si>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</si>
  <si>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</si>
  <si>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</si>
  <si>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</si>
  <si>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</si>
  <si>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</si>
  <si>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</si>
  <si>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</si>
  <si>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</si>
  <si>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</si>
  <si>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</si>
  <si>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</si>
  <si>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</si>
  <si>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</si>
  <si>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Manon Jezequel</t>
  </si>
  <si>
    <t xml:space="preserve">Riu Ferrer</t>
  </si>
  <si>
    <t xml:space="preserve">Arles sur Tech</t>
  </si>
  <si>
    <t xml:space="preserve">06166990</t>
  </si>
  <si>
    <t xml:space="preserve">RCS LR 2015</t>
  </si>
  <si>
    <t xml:space="preserve">radier</t>
  </si>
  <si>
    <t xml:space="preserve">faible</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</si>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</sst>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14" activeCellId="0" sqref="AD1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42192</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13.1875</v>
      </c>
      <c r="N5" s="352"/>
      <c r="O5" s="353" t="s">
        <v>194</v>
      </c>
      <c r="P5" s="354" t="n">
        <v>12.9285714285714</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4</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12.2142857142857</v>
      </c>
      <c r="P8" s="384" t="n">
        <f aca="false">IF(ISERROR(AVERAGE(K23:K82)),"  ",AVERAGE(K23:K82))</f>
        <v>1.71428571428571</v>
      </c>
      <c r="Q8" s="385"/>
      <c r="R8" s="309"/>
      <c r="S8" s="309"/>
      <c r="T8" s="309"/>
      <c r="U8" s="309"/>
      <c r="V8" s="309"/>
      <c r="W8" s="323"/>
    </row>
    <row r="9" customFormat="false" ht="12.75" hidden="false" customHeight="false" outlineLevel="0" collapsed="false">
      <c r="A9" s="342" t="s">
        <v>3395</v>
      </c>
      <c r="B9" s="386" t="n">
        <v>1.25</v>
      </c>
      <c r="C9" s="387"/>
      <c r="D9" s="388"/>
      <c r="E9" s="388"/>
      <c r="F9" s="389" t="n">
        <f aca="false">($B9*$B$7+$C9*$C$7)/100</f>
        <v>1.25</v>
      </c>
      <c r="G9" s="390"/>
      <c r="H9" s="345"/>
      <c r="I9" s="309"/>
      <c r="J9" s="391"/>
      <c r="K9" s="392"/>
      <c r="L9" s="375"/>
      <c r="M9" s="393"/>
      <c r="N9" s="383" t="s">
        <v>3396</v>
      </c>
      <c r="O9" s="384" t="n">
        <f aca="false">IF(ISERROR(STDEVP(J23:J82))," ",STDEVP(J23:J82))</f>
        <v>2.67738068771304</v>
      </c>
      <c r="P9" s="384" t="n">
        <f aca="false">IF(ISERROR(STDEVP(K23:K82)),"  ",STDEVP(K23:K82))</f>
        <v>0.589015089373952</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8</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6</v>
      </c>
      <c r="M13" s="409"/>
      <c r="N13" s="417" t="s">
        <v>3407</v>
      </c>
      <c r="O13" s="418" t="n">
        <f aca="false">COUNTIF(F23:F82,"&gt;0")</f>
        <v>16</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14</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2</v>
      </c>
      <c r="M15" s="409"/>
      <c r="N15" s="417" t="s">
        <v>3413</v>
      </c>
      <c r="O15" s="418" t="n">
        <f aca="false">COUNTIF(K23:K82,"=1")</f>
        <v>5</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0.875</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1.236</v>
      </c>
      <c r="C20" s="461" t="n">
        <f aca="false">SUM(C23:C62)</f>
        <v>0</v>
      </c>
      <c r="D20" s="462"/>
      <c r="E20" s="463" t="s">
        <v>3420</v>
      </c>
      <c r="F20" s="464" t="n">
        <f aca="false">($B20*$B$7+$C20*$C$7)/100</f>
        <v>1.236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1.236</v>
      </c>
      <c r="C21" s="472" t="n">
        <f aca="false">C20*C7/100</f>
        <v>0</v>
      </c>
      <c r="D21" s="473" t="s">
        <v>3423</v>
      </c>
      <c r="E21" s="474"/>
      <c r="F21" s="475" t="n">
        <f aca="false">B21+C21</f>
        <v>1.236</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133</v>
      </c>
      <c r="B24" s="519" t="n">
        <v>0.005</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0.005</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194</v>
      </c>
      <c r="B25" s="519" t="n">
        <v>0.5</v>
      </c>
      <c r="C25" s="520"/>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0.5</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216</v>
      </c>
      <c r="B26" s="519" t="n">
        <v>0.1</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0.1</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227</v>
      </c>
      <c r="B27" s="519" t="n">
        <v>0.005</v>
      </c>
      <c r="C27" s="520"/>
      <c r="D27" s="521" t="str">
        <f aca="false">IF(ISERROR(VLOOKUP($A27,'liste reference'!$A$6:$B$1174,2,0)),IF(ISERROR(VLOOKUP($A27,'liste reference'!$B$6:$B$1174,1,0)),"",VLOOKUP($A27,'liste reference'!$B$6:$B$1174,1,0)),VLOOKUP($A27,'liste reference'!$A$6:$B$1174,2,0))</f>
        <v>Melosira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Melosira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8714</v>
      </c>
      <c r="R27" s="513" t="n">
        <f aca="false">IF(ISTEXT(H27),"",(B27*$B$7/100)+(C27*$C$7/100))</f>
        <v>0.005</v>
      </c>
      <c r="S27" s="514" t="n">
        <f aca="false">IF(OR(ISTEXT(H27),R27=0),"",IF(R27&lt;0.1,1,IF(R27&lt;1,2,IF(R27&lt;10,3,IF(R27&lt;50,4,IF(R27&gt;=50,5,""))))))</f>
        <v>1</v>
      </c>
      <c r="T27" s="514" t="n">
        <f aca="false">IF(ISERROR(S27*J27),0,S27*J27)</f>
        <v>10</v>
      </c>
      <c r="U27" s="514" t="n">
        <f aca="false">IF(ISERROR(S27*J27*K27),0,S27*J27*K27)</f>
        <v>10</v>
      </c>
      <c r="V27" s="530" t="n">
        <f aca="false">IF(ISERROR(S27*K27),0,S27*K27)</f>
        <v>1</v>
      </c>
      <c r="W27" s="531"/>
      <c r="X27" s="532"/>
      <c r="Y27" s="517" t="str">
        <f aca="false">IF(AND(ISNUMBER(F27),OR(A27="",A27="!!!!!!")),"!!!!!!",IF(A27="new.cod","NEWCOD",IF(AND((Z27=""),ISTEXT(A27),A27&lt;&gt;"!!!!!!"),A27,IF(Z27="","",INDEX('liste reference'!$A$6:$A$1174,Z27)))))</f>
        <v>MELSPX</v>
      </c>
      <c r="Z27" s="499" t="n">
        <f aca="false">IF(ISERROR(MATCH(A27,'liste reference'!$A$6:$A$1174,0)),IF(ISERROR(MATCH(A27,'liste reference'!$B$6:$B$1174,0)),"",(MATCH(A27,'liste reference'!$B$6:$B$1174,0))),(MATCH(A27,'liste reference'!$A$6:$A$1174,0)))</f>
        <v>62</v>
      </c>
    </row>
    <row r="28" customFormat="false" ht="12.75" hidden="false" customHeight="false" outlineLevel="0" collapsed="false">
      <c r="A28" s="518" t="s">
        <v>290</v>
      </c>
      <c r="B28" s="519" t="n">
        <v>0.05</v>
      </c>
      <c r="C28" s="520"/>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0.05</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308</v>
      </c>
      <c r="B29" s="519" t="n">
        <v>0.04</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3462</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0.04</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342</v>
      </c>
      <c r="B30" s="519" t="n">
        <v>0.005</v>
      </c>
      <c r="C30" s="520"/>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0.005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0.005</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447</v>
      </c>
      <c r="B31" s="519" t="n">
        <v>0.005</v>
      </c>
      <c r="C31" s="520"/>
      <c r="D31" s="521" t="str">
        <f aca="false">IF(ISERROR(VLOOKUP($A31,'liste reference'!$A$6:$B$1174,2,0)),IF(ISERROR(VLOOKUP($A31,'liste reference'!$B$6:$B$1174,1,0)),"",VLOOKUP($A31,'liste reference'!$B$6:$B$1174,1,0)),VLOOKUP($A31,'liste reference'!$A$6:$B$1174,2,0))</f>
        <v>Chiloscyphus polyanthos</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n">
        <f aca="false">IF(ISNUMBER($H31),IF(ISERROR(VLOOKUP($A31,'liste reference'!$A$6:$Q$1174,6,0)),IF(ISERROR(VLOOKUP($A31,'liste reference'!$B$6:$Q$1174,5,0)),"nu",VLOOKUP($A31,'liste reference'!$B$6:$Q$1174,5,0)),VLOOKUP($A31,'liste reference'!$A$6:$Q$1174,6,0)),"nu")</f>
        <v>15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Chiloscyphus polyanthos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1186</v>
      </c>
      <c r="R31" s="513" t="n">
        <f aca="false">IF(ISTEXT(H31),"",(B31*$B$7/100)+(C31*$C$7/100))</f>
        <v>0.005</v>
      </c>
      <c r="S31" s="514" t="n">
        <f aca="false">IF(OR(ISTEXT(H31),R31=0),"",IF(R31&lt;0.1,1,IF(R31&lt;1,2,IF(R31&lt;10,3,IF(R31&lt;50,4,IF(R31&gt;=50,5,""))))))</f>
        <v>1</v>
      </c>
      <c r="T31" s="514" t="n">
        <f aca="false">IF(ISERROR(S31*J31),0,S31*J31)</f>
        <v>15</v>
      </c>
      <c r="U31" s="514" t="n">
        <f aca="false">IF(ISERROR(S31*J31*K31),0,S31*J31*K31)</f>
        <v>30</v>
      </c>
      <c r="V31" s="530" t="n">
        <f aca="false">IF(ISERROR(S31*K31),0,S31*K31)</f>
        <v>2</v>
      </c>
      <c r="W31" s="531"/>
      <c r="X31" s="532"/>
      <c r="Y31" s="517" t="str">
        <f aca="false">IF(AND(ISNUMBER(F31),OR(A31="",A31="!!!!!!")),"!!!!!!",IF(A31="new.cod","NEWCOD",IF(AND((Z31=""),ISTEXT(A31),A31&lt;&gt;"!!!!!!"),A31,IF(Z31="","",INDEX('liste reference'!$A$6:$A$1174,Z31)))))</f>
        <v>CHIPOL</v>
      </c>
      <c r="Z31" s="499" t="n">
        <f aca="false">IF(ISERROR(MATCH(A31,'liste reference'!$A$6:$A$1174,0)),IF(ISERROR(MATCH(A31,'liste reference'!$B$6:$B$1174,0)),"",(MATCH(A31,'liste reference'!$B$6:$B$1174,0))),(MATCH(A31,'liste reference'!$A$6:$A$1174,0)))</f>
        <v>137</v>
      </c>
    </row>
    <row r="32" customFormat="false" ht="12.75" hidden="false" customHeight="false" outlineLevel="0" collapsed="false">
      <c r="A32" s="518" t="s">
        <v>644</v>
      </c>
      <c r="B32" s="519" t="n">
        <v>0.35</v>
      </c>
      <c r="C32" s="520"/>
      <c r="D32" s="521" t="str">
        <f aca="false">IF(ISERROR(VLOOKUP($A32,'liste reference'!$A$6:$B$1174,2,0)),IF(ISERROR(VLOOKUP($A32,'liste reference'!$B$6:$B$1174,1,0)),"",VLOOKUP($A32,'liste reference'!$B$6:$B$1174,1,0)),VLOOKUP($A32,'liste reference'!$A$6:$B$1174,2,0))</f>
        <v>Brachythecium rivulare</v>
      </c>
      <c r="E32" s="522" t="e">
        <f aca="false">IF(D32="",0,VLOOKUP(D32,D$22:D31,1,0))</f>
        <v>#N/A</v>
      </c>
      <c r="F32" s="523" t="n">
        <f aca="false">IF(AND(OR(A32="",A32="!!!!!!"),B32="",C32=""),"",IF(OR(AND(B32="",C32=""),ISERROR(C32+B32)),"!!!",($B32*$B$7+$C32*$C$7)/100))</f>
        <v>0.35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Brachythecium rivulare</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1260</v>
      </c>
      <c r="R32" s="513" t="n">
        <f aca="false">IF(ISTEXT(H32),"",(B32*$B$7/100)+(C32*$C$7/100))</f>
        <v>0.35</v>
      </c>
      <c r="S32" s="514" t="n">
        <f aca="false">IF(OR(ISTEXT(H32),R32=0),"",IF(R32&lt;0.1,1,IF(R32&lt;1,2,IF(R32&lt;10,3,IF(R32&lt;50,4,IF(R32&gt;=50,5,""))))))</f>
        <v>2</v>
      </c>
      <c r="T32" s="514" t="n">
        <f aca="false">IF(ISERROR(S32*J32),0,S32*J32)</f>
        <v>30</v>
      </c>
      <c r="U32" s="514" t="n">
        <f aca="false">IF(ISERROR(S32*J32*K32),0,S32*J32*K32)</f>
        <v>60</v>
      </c>
      <c r="V32" s="530" t="n">
        <f aca="false">IF(ISERROR(S32*K32),0,S32*K32)</f>
        <v>4</v>
      </c>
      <c r="W32" s="531"/>
      <c r="X32" s="532"/>
      <c r="Y32" s="517" t="str">
        <f aca="false">IF(AND(ISNUMBER(F32),OR(A32="",A32="!!!!!!")),"!!!!!!",IF(A32="new.cod","NEWCOD",IF(AND((Z32=""),ISTEXT(A32),A32&lt;&gt;"!!!!!!"),A32,IF(Z32="","",INDEX('liste reference'!$A$6:$A$1174,Z32)))))</f>
        <v>BRARIV</v>
      </c>
      <c r="Z32" s="499" t="n">
        <f aca="false">IF(ISERROR(MATCH(A32,'liste reference'!$A$6:$A$1174,0)),IF(ISERROR(MATCH(A32,'liste reference'!$B$6:$B$1174,0)),"",(MATCH(A32,'liste reference'!$B$6:$B$1174,0))),(MATCH(A32,'liste reference'!$A$6:$A$1174,0)))</f>
        <v>203</v>
      </c>
    </row>
    <row r="33" customFormat="false" ht="12.75" hidden="false" customHeight="false" outlineLevel="0" collapsed="false">
      <c r="A33" s="518" t="s">
        <v>829</v>
      </c>
      <c r="B33" s="519" t="n">
        <v>0.005</v>
      </c>
      <c r="C33" s="520"/>
      <c r="D33" s="521" t="str">
        <f aca="false">IF(ISERROR(VLOOKUP($A33,'liste reference'!$A$6:$B$1174,2,0)),IF(ISERROR(VLOOKUP($A33,'liste reference'!$B$6:$B$1174,1,0)),"",VLOOKUP($A33,'liste reference'!$B$6:$B$1174,1,0)),VLOOKUP($A33,'liste reference'!$A$6:$B$1174,2,0))</f>
        <v>Fissidens crassipes</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Fissidens crassipes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1294</v>
      </c>
      <c r="R33" s="513" t="n">
        <f aca="false">IF(ISTEXT(H33),"",(B33*$B$7/100)+(C33*$C$7/100))</f>
        <v>0.005</v>
      </c>
      <c r="S33" s="514" t="n">
        <f aca="false">IF(OR(ISTEXT(H33),R33=0),"",IF(R33&lt;0.1,1,IF(R33&lt;1,2,IF(R33&lt;10,3,IF(R33&lt;50,4,IF(R33&gt;=50,5,""))))))</f>
        <v>1</v>
      </c>
      <c r="T33" s="514" t="n">
        <f aca="false">IF(ISERROR(S33*J33),0,S33*J33)</f>
        <v>12</v>
      </c>
      <c r="U33" s="514" t="n">
        <f aca="false">IF(ISERROR(S33*J33*K33),0,S33*J33*K33)</f>
        <v>24</v>
      </c>
      <c r="V33" s="530" t="n">
        <f aca="false">IF(ISERROR(S33*K33),0,S33*K33)</f>
        <v>2</v>
      </c>
      <c r="W33" s="531"/>
      <c r="X33" s="532"/>
      <c r="Y33" s="517" t="str">
        <f aca="false">IF(AND(ISNUMBER(F33),OR(A33="",A33="!!!!!!")),"!!!!!!",IF(A33="new.cod","NEWCOD",IF(AND((Z33=""),ISTEXT(A33),A33&lt;&gt;"!!!!!!"),A33,IF(Z33="","",INDEX('liste reference'!$A$6:$A$1174,Z33)))))</f>
        <v>FISCRA</v>
      </c>
      <c r="Z33" s="499" t="n">
        <f aca="false">IF(ISERROR(MATCH(A33,'liste reference'!$A$6:$A$1174,0)),IF(ISERROR(MATCH(A33,'liste reference'!$B$6:$B$1174,0)),"",(MATCH(A33,'liste reference'!$B$6:$B$1174,0))),(MATCH(A33,'liste reference'!$A$6:$A$1174,0)))</f>
        <v>255</v>
      </c>
    </row>
    <row r="34" customFormat="false" ht="12.75" hidden="false" customHeight="false" outlineLevel="0" collapsed="false">
      <c r="A34" s="518" t="s">
        <v>853</v>
      </c>
      <c r="B34" s="519" t="n">
        <v>0.01</v>
      </c>
      <c r="C34" s="520"/>
      <c r="D34" s="521" t="str">
        <f aca="false">IF(ISERROR(VLOOKUP($A34,'liste reference'!$A$6:$B$1174,2,0)),IF(ISERROR(VLOOKUP($A34,'liste reference'!$B$6:$B$1174,1,0)),"",VLOOKUP($A34,'liste reference'!$B$6:$B$1174,1,0)),VLOOKUP($A34,'liste reference'!$A$6:$B$1174,2,0))</f>
        <v>Fissidens grandifrons</v>
      </c>
      <c r="E34" s="522" t="e">
        <f aca="false">IF(D34="",0,VLOOKUP(D34,D$22:D33,1,0))</f>
        <v>#N/A</v>
      </c>
      <c r="F34" s="523" t="n">
        <f aca="false">IF(AND(OR(A34="",A34="!!!!!!"),B34="",C34=""),"",IF(OR(AND(B34="",C34=""),ISERROR(C34+B34)),"!!!",($B34*$B$7+$C34*$C$7)/100))</f>
        <v>0.01</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15</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Fissidens grandifrons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19666</v>
      </c>
      <c r="R34" s="513" t="n">
        <f aca="false">IF(ISTEXT(H34),"",(B34*$B$7/100)+(C34*$C$7/100))</f>
        <v>0.01</v>
      </c>
      <c r="S34" s="514" t="n">
        <f aca="false">IF(OR(ISTEXT(H34),R34=0),"",IF(R34&lt;0.1,1,IF(R34&lt;1,2,IF(R34&lt;10,3,IF(R34&lt;50,4,IF(R34&gt;=50,5,""))))))</f>
        <v>1</v>
      </c>
      <c r="T34" s="514" t="n">
        <f aca="false">IF(ISERROR(S34*J34),0,S34*J34)</f>
        <v>15</v>
      </c>
      <c r="U34" s="514" t="n">
        <f aca="false">IF(ISERROR(S34*J34*K34),0,S34*J34*K34)</f>
        <v>45</v>
      </c>
      <c r="V34" s="530" t="n">
        <f aca="false">IF(ISERROR(S34*K34),0,S34*K34)</f>
        <v>3</v>
      </c>
      <c r="W34" s="531"/>
      <c r="X34" s="532"/>
      <c r="Y34" s="517" t="str">
        <f aca="false">IF(AND(ISNUMBER(F34),OR(A34="",A34="!!!!!!")),"!!!!!!",IF(A34="new.cod","NEWCOD",IF(AND((Z34=""),ISTEXT(A34),A34&lt;&gt;"!!!!!!"),A34,IF(Z34="","",INDEX('liste reference'!$A$6:$A$1174,Z34)))))</f>
        <v>FISGRN</v>
      </c>
      <c r="Z34" s="499" t="n">
        <f aca="false">IF(ISERROR(MATCH(A34,'liste reference'!$A$6:$A$1174,0)),IF(ISERROR(MATCH(A34,'liste reference'!$B$6:$B$1174,0)),"",(MATCH(A34,'liste reference'!$B$6:$B$1174,0))),(MATCH(A34,'liste reference'!$A$6:$A$1174,0)))</f>
        <v>261</v>
      </c>
    </row>
    <row r="35" customFormat="false" ht="12.75" hidden="false" customHeight="false" outlineLevel="0" collapsed="false">
      <c r="A35" s="518" t="s">
        <v>908</v>
      </c>
      <c r="B35" s="519" t="n">
        <v>0.1</v>
      </c>
      <c r="C35" s="520"/>
      <c r="D35" s="521" t="str">
        <f aca="false">IF(ISERROR(VLOOKUP($A35,'liste reference'!$A$6:$B$1174,2,0)),IF(ISERROR(VLOOKUP($A35,'liste reference'!$B$6:$B$1174,1,0)),"",VLOOKUP($A35,'liste reference'!$B$6:$B$1174,1,0)),VLOOKUP($A35,'liste reference'!$A$6:$B$1174,2,0))</f>
        <v>Hygroamblystegium fluviatile </v>
      </c>
      <c r="E35" s="522" t="e">
        <f aca="false">IF(D35="",0,VLOOKUP(D35,D$22:D34,1,0))</f>
        <v>#N/A</v>
      </c>
      <c r="F35" s="523" t="n">
        <f aca="false">IF(AND(OR(A35="",A35="!!!!!!"),B35="",C35=""),"",IF(OR(AND(B35="",C35=""),ISERROR(C35+B35)),"!!!",($B35*$B$7+$C35*$C$7)/100))</f>
        <v>0.1</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11</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Hygroamblystegium fluviatile </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1237</v>
      </c>
      <c r="R35" s="513" t="n">
        <f aca="false">IF(ISTEXT(H35),"",(B35*$B$7/100)+(C35*$C$7/100))</f>
        <v>0.1</v>
      </c>
      <c r="S35" s="514" t="n">
        <f aca="false">IF(OR(ISTEXT(H35),R35=0),"",IF(R35&lt;0.1,1,IF(R35&lt;1,2,IF(R35&lt;10,3,IF(R35&lt;50,4,IF(R35&gt;=50,5,""))))))</f>
        <v>2</v>
      </c>
      <c r="T35" s="514" t="n">
        <f aca="false">IF(ISERROR(S35*J35),0,S35*J35)</f>
        <v>22</v>
      </c>
      <c r="U35" s="514" t="n">
        <f aca="false">IF(ISERROR(S35*J35*K35),0,S35*J35*K35)</f>
        <v>44</v>
      </c>
      <c r="V35" s="530" t="n">
        <f aca="false">IF(ISERROR(S35*K35),0,S35*K35)</f>
        <v>4</v>
      </c>
      <c r="W35" s="531"/>
      <c r="X35" s="532"/>
      <c r="Y35" s="517" t="str">
        <f aca="false">IF(AND(ISNUMBER(F35),OR(A35="",A35="!!!!!!")),"!!!!!!",IF(A35="new.cod","NEWCOD",IF(AND((Z35=""),ISTEXT(A35),A35&lt;&gt;"!!!!!!"),A35,IF(Z35="","",INDEX('liste reference'!$A$6:$A$1174,Z35)))))</f>
        <v>HYAFLU</v>
      </c>
      <c r="Z35" s="499" t="n">
        <f aca="false">IF(ISERROR(MATCH(A35,'liste reference'!$A$6:$A$1174,0)),IF(ISERROR(MATCH(A35,'liste reference'!$B$6:$B$1174,0)),"",(MATCH(A35,'liste reference'!$B$6:$B$1174,0))),(MATCH(A35,'liste reference'!$A$6:$A$1174,0)))</f>
        <v>281</v>
      </c>
    </row>
    <row r="36" customFormat="false" ht="12.75" hidden="false" customHeight="false" outlineLevel="0" collapsed="false">
      <c r="A36" s="518" t="s">
        <v>1121</v>
      </c>
      <c r="B36" s="519" t="n">
        <v>0.05</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2704</v>
      </c>
      <c r="B37" s="519" t="n">
        <v>0.001</v>
      </c>
      <c r="C37" s="520"/>
      <c r="D37" s="521" t="str">
        <f aca="false">IF(ISERROR(VLOOKUP($A37,'liste reference'!$A$6:$B$1174,2,0)),IF(ISERROR(VLOOKUP($A37,'liste reference'!$B$6:$B$1174,1,0)),"",VLOOKUP($A37,'liste reference'!$B$6:$B$1174,1,0)),VLOOKUP($A37,'liste reference'!$A$6:$B$1174,2,0))</f>
        <v>Mentha suaveolens</v>
      </c>
      <c r="E37" s="522" t="e">
        <f aca="false">IF(D37="",0,VLOOKUP(D37,D$22:D36,1,0))</f>
        <v>#N/A</v>
      </c>
      <c r="F37" s="523" t="n">
        <f aca="false">IF(AND(OR(A37="",A37="!!!!!!"),B37="",C37=""),"",IF(OR(AND(B37="",C37=""),ISERROR(C37+B37)),"!!!",($B37*$B$7+$C37*$C$7)/100))</f>
        <v>0.001</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suaveolens</v>
      </c>
      <c r="M37" s="533"/>
      <c r="N37" s="533"/>
      <c r="O37" s="533"/>
      <c r="P37" s="528" t="s">
        <v>3443</v>
      </c>
      <c r="Q37" s="529" t="n">
        <f aca="false">IF(OR($A37="NEWCOD",$A37="!!!!!!"),IF(X37="","NoCod",X37),IF($A37="","",IF(ISERROR(VLOOKUP($A37,'liste reference'!$A$6:$H$1174,8,FALSE())),IF(ISERROR(VLOOKUP($A37,'liste reference'!$B$6:$H$1174,7,FALSE())),"",VLOOKUP($A37,'liste reference'!$B$6:$H$1174,7,FALSE())),VLOOKUP($A37,'liste reference'!$A$6:$H$1174,8,FALSE()))))</f>
        <v>29952</v>
      </c>
      <c r="R37" s="513" t="n">
        <f aca="false">IF(ISTEXT(H37),"",(B37*$B$7/100)+(C37*$C$7/100))</f>
        <v>0.001</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MENSUA</v>
      </c>
      <c r="Z37" s="499" t="n">
        <f aca="false">IF(ISERROR(MATCH(A37,'liste reference'!$A$6:$A$1174,0)),IF(ISERROR(MATCH(A37,'liste reference'!$B$6:$B$1174,0)),"",(MATCH(A37,'liste reference'!$B$6:$B$1174,0))),(MATCH(A37,'liste reference'!$A$6:$A$1174,0)))</f>
        <v>905</v>
      </c>
    </row>
    <row r="38" customFormat="false" ht="12.75" hidden="false" customHeight="false" outlineLevel="0" collapsed="false">
      <c r="A38" s="518" t="s">
        <v>2887</v>
      </c>
      <c r="B38" s="519" t="n">
        <v>0.005</v>
      </c>
      <c r="C38" s="520"/>
      <c r="D38" s="521" t="str">
        <f aca="false">IF(ISERROR(VLOOKUP($A38,'liste reference'!$A$6:$B$1174,2,0)),IF(ISERROR(VLOOKUP($A38,'liste reference'!$B$6:$B$1174,1,0)),"",VLOOKUP($A38,'liste reference'!$B$6:$B$1174,1,0)),VLOOKUP($A38,'liste reference'!$A$6:$B$1174,2,0))</f>
        <v>Solanum dulcamara</v>
      </c>
      <c r="E38" s="522" t="e">
        <f aca="false">IF(D38="",0,VLOOKUP(D38,D$22:D37,1,0))</f>
        <v>#N/A</v>
      </c>
      <c r="F38" s="523" t="n">
        <f aca="false">IF(AND(OR(A38="",A38="!!!!!!"),B38="",C38=""),"",IF(OR(AND(B38="",C38=""),ISERROR(C38+B38)),"!!!",($B38*$B$7+$C38*$C$7)/100))</f>
        <v>0.005</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Solanum dulcamara</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1964</v>
      </c>
      <c r="R38" s="513" t="n">
        <f aca="false">IF(ISTEXT(H38),"",(B38*$B$7/100)+(C38*$C$7/100))</f>
        <v>0.005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SOADUL</v>
      </c>
      <c r="Z38" s="499" t="n">
        <f aca="false">IF(ISERROR(MATCH(A38,'liste reference'!$A$6:$A$1174,0)),IF(ISERROR(MATCH(A38,'liste reference'!$B$6:$B$1174,0)),"",(MATCH(A38,'liste reference'!$B$6:$B$1174,0))),(MATCH(A38,'liste reference'!$A$6:$A$1174,0)))</f>
        <v>969</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1.236</v>
      </c>
      <c r="G83" s="452"/>
      <c r="H83" s="452"/>
      <c r="I83" s="452"/>
      <c r="J83" s="452"/>
      <c r="K83" s="452"/>
      <c r="L83" s="452"/>
      <c r="M83" s="514"/>
      <c r="N83" s="514"/>
      <c r="O83" s="514"/>
      <c r="P83" s="514"/>
      <c r="Q83" s="514"/>
      <c r="R83" s="514"/>
      <c r="S83" s="514"/>
      <c r="T83" s="514"/>
      <c r="U83" s="514"/>
      <c r="V83" s="514" t="n">
        <f aca="false">SUM(V23:V82)</f>
        <v>32</v>
      </c>
      <c r="W83" s="514"/>
      <c r="X83" s="552"/>
      <c r="Y83" s="552"/>
      <c r="Z83" s="553"/>
    </row>
    <row r="84" customFormat="false" ht="12.75" hidden="true" customHeight="false" outlineLevel="0" collapsed="false">
      <c r="A84" s="547" t="str">
        <f aca="false">A3</f>
        <v>Riu Ferrer</v>
      </c>
      <c r="B84" s="481" t="str">
        <f aca="false">C3</f>
        <v>Arles sur Tech</v>
      </c>
      <c r="C84" s="554" t="str">
        <f aca="false">A4</f>
        <v>(Date)</v>
      </c>
      <c r="D84" s="555" t="n">
        <f aca="false">IF(OR(ISERROR(SUM($U$23:$U$82)/SUM($V$23:$V$82)),F7&lt;&gt;100),-1,SUM($U$23:$U$82)/SUM($V$23:$V$82))</f>
        <v>13.1875</v>
      </c>
      <c r="E84" s="556" t="n">
        <f aca="false">O13</f>
        <v>16</v>
      </c>
      <c r="F84" s="481" t="n">
        <f aca="false">O14</f>
        <v>14</v>
      </c>
      <c r="G84" s="481" t="n">
        <f aca="false">O15</f>
        <v>5</v>
      </c>
      <c r="H84" s="481" t="n">
        <f aca="false">O16</f>
        <v>8</v>
      </c>
      <c r="I84" s="481" t="n">
        <f aca="false">O17</f>
        <v>1</v>
      </c>
      <c r="J84" s="557" t="n">
        <f aca="false">O8</f>
        <v>12.2142857142857</v>
      </c>
      <c r="K84" s="558" t="n">
        <f aca="false">O9</f>
        <v>2.67738068771304</v>
      </c>
      <c r="L84" s="559" t="n">
        <f aca="false">O10</f>
        <v>6</v>
      </c>
      <c r="M84" s="559" t="n">
        <f aca="false">O11</f>
        <v>15</v>
      </c>
      <c r="N84" s="558" t="n">
        <f aca="false">P8</f>
        <v>1.71428571428571</v>
      </c>
      <c r="O84" s="558" t="n">
        <f aca="false">P9</f>
        <v>0.589015089373952</v>
      </c>
      <c r="P84" s="559" t="n">
        <f aca="false">P10</f>
        <v>1</v>
      </c>
      <c r="Q84" s="559" t="n">
        <f aca="false">P11</f>
        <v>3</v>
      </c>
      <c r="R84" s="559" t="n">
        <f aca="false">F21</f>
        <v>1.236</v>
      </c>
      <c r="S84" s="559" t="n">
        <f aca="false">L11</f>
        <v>0</v>
      </c>
      <c r="T84" s="559" t="n">
        <f aca="false">L12</f>
        <v>8</v>
      </c>
      <c r="U84" s="559" t="n">
        <f aca="false">L13</f>
        <v>6</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30</v>
      </c>
      <c r="U87" s="309"/>
      <c r="V87" s="309"/>
    </row>
    <row r="88" customFormat="false" ht="12.75" hidden="true" customHeight="false" outlineLevel="0" collapsed="false">
      <c r="C88" s="563"/>
      <c r="D88" s="563"/>
      <c r="E88" s="563"/>
      <c r="R88" s="309" t="s">
        <v>3446</v>
      </c>
      <c r="S88" s="309"/>
      <c r="T88" s="565" t="n">
        <f aca="false">VLOOKUP($T$91,($A$23:$U$82),21,FALSE())</f>
        <v>60</v>
      </c>
      <c r="U88" s="309"/>
      <c r="V88" s="309" t="n">
        <f aca="false">COUNTIF(V23:V82,T89)</f>
        <v>4</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12.9285714285714</v>
      </c>
      <c r="U90" s="309" t="n">
        <f aca="false">IF(ISERROR(T90),0,1)</f>
        <v>1</v>
      </c>
    </row>
    <row r="91" customFormat="false" ht="12.75" hidden="true" customHeight="false" outlineLevel="0" collapsed="false">
      <c r="C91" s="563"/>
      <c r="D91" s="563"/>
      <c r="E91" s="563"/>
      <c r="R91" s="514" t="s">
        <v>3450</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3451</v>
      </c>
      <c r="S92" s="309"/>
      <c r="T92" s="309" t="n">
        <f aca="false">MATCH(T89,$V$23:$V$82,0)</f>
        <v>3</v>
      </c>
      <c r="U92" s="309"/>
    </row>
    <row r="93" customFormat="false" ht="12.75" hidden="true" customHeight="false" outlineLevel="0" collapsed="false">
      <c r="C93" s="563"/>
      <c r="D93" s="563"/>
      <c r="E93" s="563"/>
      <c r="R93" s="514" t="s">
        <v>3452</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3480</v>
      </c>
      <c r="G25" s="8"/>
      <c r="H25" s="605" t="s">
        <v>3480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3462</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3461</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2016-04-14T14:30:44Z</dcterms:modified>
  <cp:revision>0</cp:revision>
  <dc:subject/>
  <dc:title>Feuille d'aide au calcul de l'IBMR</dc:title>
</cp:coreProperties>
</file>