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68000 TECH a Elne" sheetId="6" state="visible" r:id="rId8"/>
    <sheet name="modele" sheetId="7" state="hidden" r:id="rId9"/>
    <sheet name="liste codes réf" sheetId="8" state="hidden" r:id="rId10"/>
  </sheets>
  <definedNames>
    <definedName function="false" hidden="false" localSheetId="5" name="_xlnm.Print_Area" vbProcedure="false">'06168000 TECH a Elne'!$A$1:$O$82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'06168000 TECH a Elne'!$A$23:$J$84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<sst xmlns="http://schemas.openxmlformats.org/spreadsheetml/2006/main" count="7365" uniqueCount="2726">
  <si>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</si>
  <si>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</si>
  <si>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</si>
  <si>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</si>
  <si>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</si>
  <si>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</si>
  <si>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</si>
  <si>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</si>
  <si>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</si>
  <si>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</si>
  <si>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</si>
  <si>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</si>
  <si>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</si>
  <si>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</si>
  <si>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</si>
  <si>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</si>
  <si>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</si>
  <si>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</si>
  <si>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</si>
  <si>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</si>
  <si>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</si>
  <si>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</si>
  <si>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</si>
  <si>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</si>
  <si>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</si>
  <si>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</si>
  <si>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</si>
  <si>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</si>
  <si>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</si>
  <si>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</si>
  <si>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</si>
  <si>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</si>
  <si>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</si>
  <si>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</si>
  <si>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</si>
  <si>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</si>
  <si>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</si>
  <si>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</si>
  <si>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</si>
  <si>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</si>
  <si>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</si>
  <si>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</si>
  <si>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</si>
  <si>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</si>
  <si>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</si>
  <si>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</si>
  <si>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</si>
  <si>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</si>
  <si>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</si>
  <si>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</si>
  <si>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</si>
  <si>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</si>
  <si>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</si>
  <si>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</si>
  <si>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</si>
  <si>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</si>
  <si>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</si>
  <si>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</si>
  <si>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</si>
  <si>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</si>
  <si>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</si>
  <si>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</si>
  <si>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</si>
  <si>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</si>
  <si>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</si>
  <si>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</si>
  <si>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</si>
  <si>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</si>
  <si>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</si>
  <si>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</si>
  <si>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</si>
  <si>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</si>
  <si>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</si>
  <si>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</si>
  <si>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</si>
  <si>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</si>
  <si>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</si>
  <si>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</si>
  <si>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</si>
  <si>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</si>
  <si>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</si>
  <si>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</si>
  <si>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</si>
  <si>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</si>
  <si>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</si>
  <si>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</si>
  <si>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</si>
  <si>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</si>
  <si>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</si>
  <si>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</si>
  <si>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</si>
  <si>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</si>
  <si>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</si>
  <si>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</si>
  <si>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</si>
  <si>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</si>
  <si>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</si>
  <si>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</si>
  <si>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</si>
  <si>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</si>
  <si>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</si>
  <si>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</si>
  <si>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</si>
  <si>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</si>
  <si>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</si>
  <si>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</si>
  <si>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</si>
  <si>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</si>
  <si>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</si>
  <si>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</si>
  <si>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</si>
  <si>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</si>
  <si>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</si>
  <si>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</si>
  <si>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</si>
  <si>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</si>
  <si>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</si>
  <si>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</si>
  <si>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</si>
  <si>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</si>
  <si>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</si>
  <si>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</si>
  <si>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</si>
  <si>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</si>
  <si>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</si>
  <si>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</si>
  <si>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</si>
  <si>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</si>
  <si>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</si>
  <si>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</si>
  <si>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</si>
  <si>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</si>
  <si>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</si>
  <si>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</si>
  <si>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</si>
  <si>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</si>
  <si>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</si>
  <si>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</si>
  <si>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</si>
  <si>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</si>
  <si>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</si>
  <si>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</si>
  <si>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</si>
  <si>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</si>
  <si>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</si>
  <si>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</si>
  <si>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</si>
  <si>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</si>
  <si>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</si>
  <si>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</si>
  <si>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</si>
  <si>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</si>
  <si>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</si>
  <si>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</si>
  <si>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</si>
  <si>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</si>
  <si>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</si>
  <si>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</si>
  <si>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</si>
  <si>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</si>
  <si>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</si>
  <si>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</si>
  <si>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</si>
  <si>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</si>
  <si>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</si>
  <si>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</si>
  <si>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</si>
  <si>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</si>
  <si>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</si>
  <si>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</si>
  <si>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</si>
  <si>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</si>
  <si>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</si>
  <si>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</si>
  <si>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</si>
  <si>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</si>
  <si>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</si>
  <si>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</si>
  <si>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</si>
  <si>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</si>
  <si>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</si>
  <si>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</si>
  <si>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</si>
  <si>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</si>
  <si>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</si>
  <si>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</si>
  <si>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</si>
  <si>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</si>
  <si>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</si>
  <si>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</si>
  <si>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</si>
  <si>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</si>
  <si>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</si>
  <si>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</si>
  <si>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</si>
  <si>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</si>
  <si>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</si>
  <si>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</si>
  <si>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</si>
  <si>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</si>
  <si>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</si>
  <si>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</si>
  <si>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</si>
  <si>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</si>
  <si>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</si>
  <si>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</si>
  <si>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</si>
  <si>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</si>
  <si>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</si>
  <si>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</si>
  <si>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</si>
  <si>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</si>
  <si>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</si>
  <si>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</si>
  <si>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</si>
  <si>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</si>
  <si>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</si>
  <si>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</si>
  <si>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</si>
  <si>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</si>
  <si>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</si>
  <si>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</si>
  <si>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</si>
  <si>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</si>
  <si>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</si>
  <si>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</si>
  <si>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</si>
  <si>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</si>
  <si>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</si>
  <si>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</si>
  <si>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</si>
  <si>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</si>
  <si>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</si>
  <si>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</si>
  <si>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</si>
  <si>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</si>
  <si>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</si>
  <si>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</si>
  <si>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</si>
  <si>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</si>
  <si>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</si>
  <si>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</si>
  <si>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</si>
  <si>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</si>
  <si>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</si>
  <si>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</si>
  <si>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</si>
  <si>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</si>
  <si>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</si>
  <si>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</si>
  <si>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</si>
  <si>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</si>
  <si>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</si>
  <si>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</si>
  <si>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</si>
  <si>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</si>
  <si>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</si>
  <si>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</si>
  <si>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</si>
  <si>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</si>
  <si>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</si>
  <si>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</si>
  <si>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</si>
  <si>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</si>
  <si>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</si>
  <si>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</si>
  <si>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</si>
  <si>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</si>
  <si>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</si>
  <si>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</si>
  <si>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</si>
  <si>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</si>
  <si>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</si>
  <si>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</si>
  <si>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</si>
  <si>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</si>
  <si>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</si>
  <si>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</si>
  <si>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</si>
  <si>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</si>
  <si>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</si>
  <si>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</si>
  <si>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</si>
  <si>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</si>
  <si>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</si>
  <si>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</si>
  <si>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</si>
  <si>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</si>
  <si>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</si>
  <si>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</si>
  <si>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</si>
  <si>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</si>
  <si>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</si>
  <si>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</si>
  <si>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</si>
  <si>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</si>
  <si>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</si>
  <si>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</si>
  <si>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</si>
  <si>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</si>
  <si>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</si>
  <si>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</si>
  <si>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</si>
  <si>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</si>
  <si>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</si>
  <si>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</si>
  <si>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</si>
  <si>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</si>
  <si>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</si>
  <si>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</si>
  <si>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</si>
  <si>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</si>
  <si>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</si>
  <si>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</si>
  <si>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</si>
  <si>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</si>
  <si>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</si>
  <si>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</si>
  <si>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</si>
  <si>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</si>
  <si>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</si>
  <si>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</si>
  <si>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</si>
  <si>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</si>
  <si>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</si>
  <si>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</si>
  <si>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</si>
  <si>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</si>
  <si>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</si>
  <si>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</si>
  <si>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</si>
  <si>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</si>
  <si>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</si>
  <si>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</si>
  <si>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</si>
  <si>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</si>
  <si>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</si>
  <si>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</si>
  <si>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</si>
  <si>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</si>
  <si>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</si>
  <si>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</si>
  <si>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</si>
  <si>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</si>
  <si>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</si>
  <si>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</si>
  <si>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</si>
  <si>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</si>
  <si>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</si>
  <si>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</si>
  <si>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</si>
  <si>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</si>
  <si>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</si>
  <si>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</si>
  <si>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</si>
  <si>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</si>
  <si>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</si>
  <si>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</si>
  <si>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</si>
  <si>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</si>
  <si>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</si>
  <si>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</si>
  <si>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</si>
  <si>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</si>
  <si>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</si>
  <si>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</si>
  <si>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</si>
  <si>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</si>
  <si>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</si>
  <si>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</si>
  <si>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</si>
  <si>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</si>
  <si>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</si>
  <si>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</si>
  <si>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</si>
  <si>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</si>
  <si>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</si>
  <si>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</si>
  <si>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</si>
  <si>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</si>
  <si>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</si>
  <si>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</si>
  <si>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</si>
  <si>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</si>
  <si>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</si>
  <si>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</si>
  <si>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</si>
  <si>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</si>
  <si>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</si>
  <si>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</si>
  <si>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</si>
  <si>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</si>
  <si>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</si>
  <si>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</si>
  <si>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</si>
  <si>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</si>
  <si>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</si>
  <si>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</si>
  <si>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</si>
  <si>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</si>
  <si>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</si>
  <si>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</si>
  <si>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</si>
  <si>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</si>
  <si>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</si>
  <si>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</si>
  <si>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</si>
  <si>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</si>
  <si>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</si>
  <si>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</si>
  <si>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</si>
  <si>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</si>
  <si>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</si>
  <si>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</si>
  <si>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</si>
  <si>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</si>
  <si>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</si>
  <si>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</si>
  <si>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</si>
  <si>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</si>
  <si>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</si>
  <si>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</si>
  <si>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</si>
  <si>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</si>
  <si>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</si>
  <si>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</si>
  <si>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</si>
  <si>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</si>
  <si>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</si>
  <si>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</si>
  <si>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</si>
  <si>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</si>
  <si>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</si>
  <si>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</si>
  <si>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</si>
  <si>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</si>
  <si>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</si>
  <si>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</si>
  <si>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</si>
  <si>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</si>
  <si>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</si>
  <si>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</si>
  <si>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</si>
  <si>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</si>
  <si>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</si>
  <si>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</si>
  <si>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</si>
  <si>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</si>
  <si>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</si>
  <si>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</si>
  <si>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</si>
  <si>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</si>
  <si>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</si>
  <si>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</si>
  <si>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</si>
  <si>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</si>
  <si>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</si>
  <si>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</si>
  <si>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</si>
  <si>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</si>
  <si>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</si>
  <si>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</si>
  <si>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</si>
  <si>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</si>
  <si>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</si>
  <si>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</si>
  <si>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</si>
  <si>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</si>
  <si>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</si>
  <si>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</si>
  <si>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</si>
  <si>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</si>
  <si>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</si>
  <si>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</si>
  <si>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</si>
  <si>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</si>
  <si>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</si>
  <si>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</si>
  <si>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</si>
  <si>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</si>
  <si>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</si>
  <si>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</si>
  <si>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</si>
  <si>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</si>
  <si>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</si>
  <si>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</si>
  <si>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</si>
  <si>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</si>
  <si>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</si>
  <si>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</si>
  <si>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</si>
  <si>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</si>
  <si>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</si>
  <si>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</si>
  <si>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</si>
  <si>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</si>
  <si>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</si>
  <si>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</si>
  <si>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</si>
  <si>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</si>
  <si>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</si>
  <si>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</si>
  <si>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</si>
  <si>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</si>
  <si>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</si>
  <si>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</si>
  <si>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</si>
  <si>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</si>
  <si>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</si>
  <si>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</si>
  <si>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</si>
  <si>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</si>
  <si>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</si>
  <si>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</si>
  <si>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</si>
  <si>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</si>
  <si>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</si>
  <si>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</si>
  <si>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</si>
  <si>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</si>
  <si>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</si>
  <si>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</si>
  <si>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</si>
  <si>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</si>
  <si>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</si>
  <si>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</si>
  <si>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</si>
  <si>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</si>
  <si>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</si>
  <si>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</si>
  <si>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</si>
  <si>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</si>
  <si>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</si>
  <si>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</si>
  <si>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</si>
  <si>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</si>
  <si>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</si>
  <si>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</si>
  <si>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</si>
  <si>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</si>
  <si>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</si>
  <si>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</si>
  <si>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</si>
  <si>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</si>
  <si>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</si>
  <si>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</si>
  <si>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</si>
  <si>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</si>
  <si>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</si>
  <si>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</si>
  <si>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</si>
  <si>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</si>
  <si>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</si>
  <si>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</si>
  <si>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</si>
  <si>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</si>
  <si>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</si>
  <si>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</si>
  <si>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</si>
  <si>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</si>
  <si>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</si>
  <si>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</si>
  <si>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</si>
  <si>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</si>
  <si>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</si>
  <si>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</si>
  <si>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</si>
  <si>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</si>
  <si>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</si>
  <si>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</si>
  <si>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</si>
  <si>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</si>
  <si>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</si>
  <si>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</si>
  <si>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</si>
  <si>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</si>
  <si>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</si>
  <si>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</si>
  <si>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</si>
  <si>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</si>
  <si>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</si>
  <si>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</si>
  <si>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</si>
  <si>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</si>
  <si>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</si>
  <si>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</si>
  <si>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</si>
  <si>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</si>
  <si>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</si>
  <si>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</si>
  <si>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</si>
  <si>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</si>
  <si>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</si>
  <si>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</si>
  <si>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</si>
  <si>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</si>
  <si>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</si>
  <si>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</si>
  <si>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</si>
  <si>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</si>
  <si>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</si>
  <si>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</si>
  <si>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</si>
  <si>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</si>
  <si>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</si>
  <si>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</si>
  <si>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</si>
  <si>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</si>
  <si>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</si>
  <si>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</si>
  <si>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</si>
  <si>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</si>
  <si>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</si>
  <si>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</si>
  <si>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</si>
  <si>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</si>
  <si>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</si>
  <si>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</si>
  <si>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</si>
  <si>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</si>
  <si>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</si>
  <si>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</si>
  <si>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</si>
  <si>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</si>
  <si>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</si>
  <si>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</si>
  <si>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</si>
  <si>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</si>
  <si>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</si>
  <si>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</si>
  <si>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</si>
  <si>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</si>
  <si>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</si>
  <si>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</si>
  <si>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</si>
  <si>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</si>
  <si>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</si>
  <si>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</si>
  <si>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</si>
  <si>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</si>
  <si>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</si>
  <si>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</si>
  <si>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</si>
  <si>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</si>
  <si>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</si>
  <si>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</si>
  <si>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</si>
  <si>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</si>
  <si>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</si>
  <si>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</si>
  <si>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</si>
  <si>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</si>
  <si>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</si>
  <si>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</si>
  <si>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</si>
  <si>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</si>
  <si>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</si>
  <si>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</si>
  <si>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</si>
  <si>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</si>
  <si>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</si>
  <si>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</si>
  <si>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</si>
  <si>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</si>
  <si>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</si>
  <si>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</si>
  <si>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</si>
  <si>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</si>
  <si>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</si>
  <si>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</si>
  <si>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</si>
  <si>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</si>
  <si>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</si>
  <si>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</si>
  <si>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</si>
  <si>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</si>
  <si>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</si>
  <si>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</si>
  <si>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</si>
  <si>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</si>
  <si>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</si>
  <si>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</si>
  <si>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</si>
  <si>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</si>
  <si>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</si>
  <si>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</si>
  <si>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</si>
  <si>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</si>
  <si>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</si>
  <si>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</si>
  <si>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</si>
  <si>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</si>
  <si>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</si>
  <si>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</si>
  <si>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</si>
  <si>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</si>
  <si>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</si>
  <si>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</si>
  <si>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</si>
  <si>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</si>
  <si>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</si>
  <si>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</si>
  <si>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</si>
  <si>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</si>
  <si>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</si>
  <si>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</si>
  <si>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</si>
  <si>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</si>
  <si>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</si>
  <si>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</si>
  <si>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</si>
  <si>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</si>
  <si>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</si>
  <si>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</si>
  <si>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</si>
  <si>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</si>
  <si>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</si>
  <si>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</si>
  <si>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</si>
  <si>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</si>
  <si>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</si>
  <si>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</si>
  <si>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</si>
  <si>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</si>
  <si>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</si>
  <si>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</si>
  <si>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</si>
  <si>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</si>
  <si>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</si>
  <si>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</si>
  <si>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</si>
  <si>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</si>
  <si>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</si>
  <si>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</si>
  <si>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</si>
  <si>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</si>
  <si>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</si>
  <si>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</si>
  <si>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</si>
  <si>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</si>
  <si>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</si>
  <si>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</si>
  <si>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</si>
  <si>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</si>
  <si>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</si>
  <si>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</si>
  <si>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</si>
  <si>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</si>
  <si>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</si>
  <si>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</si>
  <si>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</si>
  <si>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</si>
  <si>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</si>
  <si>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</si>
  <si>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</si>
  <si>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</si>
  <si>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</si>
  <si>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</si>
  <si>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</si>
  <si>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</si>
  <si>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</si>
  <si>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</si>
  <si>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</si>
  <si>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</si>
  <si>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</si>
  <si>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</si>
  <si>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</si>
  <si>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</si>
  <si>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</si>
  <si>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</si>
  <si>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</si>
  <si>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</si>
  <si>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</si>
  <si>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</si>
  <si>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</si>
  <si>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</si>
  <si>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</si>
  <si>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</si>
  <si>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</si>
  <si>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</si>
  <si>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</si>
  <si>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</si>
  <si>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</si>
  <si>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</si>
  <si>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</si>
  <si>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</si>
  <si>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</si>
  <si>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</si>
  <si>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</si>
  <si>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</si>
  <si>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</si>
  <si>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</si>
  <si>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</si>
  <si>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</si>
  <si>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</si>
  <si>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</si>
  <si>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</si>
  <si>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</si>
  <si>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</si>
  <si>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</si>
  <si>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</si>
  <si>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</si>
  <si>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</si>
  <si>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</si>
  <si>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</si>
  <si>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</si>
  <si>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</si>
  <si>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</si>
  <si>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</si>
  <si>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</si>
  <si>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</si>
  <si>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</si>
  <si>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</si>
  <si>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</si>
  <si>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</si>
  <si>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</si>
  <si>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</si>
  <si>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</si>
  <si>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</si>
  <si>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</si>
  <si>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</si>
  <si>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</si>
  <si>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</si>
  <si>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</si>
  <si>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</si>
  <si>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</si>
  <si>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</si>
  <si>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</si>
  <si>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</si>
  <si>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</si>
  <si>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</si>
  <si>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</si>
  <si>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</si>
  <si>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</si>
  <si>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</si>
  <si>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</si>
  <si>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</si>
  <si>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</si>
  <si>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</si>
  <si>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</si>
  <si>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</si>
  <si>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</si>
  <si>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</si>
  <si>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</si>
  <si>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</si>
  <si>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</si>
  <si>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</si>
  <si>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</si>
  <si>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</si>
  <si>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</si>
  <si>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</si>
  <si>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</si>
  <si>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</si>
  <si>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</si>
  <si>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</si>
  <si>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</si>
  <si>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</si>
  <si>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</si>
  <si>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</si>
  <si>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</si>
  <si>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</si>
  <si>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</si>
  <si>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</si>
  <si>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</si>
  <si>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</si>
  <si>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</si>
  <si>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</si>
  <si>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</si>
  <si>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</si>
  <si>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</si>
  <si>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</si>
  <si>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</si>
  <si>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</si>
  <si>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</si>
  <si>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</si>
  <si>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</si>
  <si>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</si>
  <si>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</si>
  <si>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</si>
  <si>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</si>
  <si>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</si>
  <si>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</si>
  <si>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</si>
  <si>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</si>
  <si>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</si>
  <si>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</si>
  <si>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</si>
  <si>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</si>
  <si>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</si>
  <si>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</si>
  <si>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</si>
  <si>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</si>
  <si>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</si>
  <si>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</si>
  <si>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</si>
  <si>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</si>
  <si>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</si>
  <si>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</si>
  <si>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</si>
  <si>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</si>
  <si>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</si>
  <si>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</si>
  <si>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</si>
  <si>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</si>
  <si>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</si>
  <si>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</si>
  <si>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</si>
  <si>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</si>
  <si>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</si>
  <si>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</si>
  <si>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</si>
  <si>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</si>
  <si>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</si>
  <si>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</si>
  <si>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</si>
  <si>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</si>
  <si>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</si>
  <si>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</si>
  <si>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</si>
  <si>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</si>
  <si>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</si>
  <si>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</si>
  <si>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</si>
  <si>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</si>
  <si>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</si>
  <si>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</si>
  <si>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</si>
  <si>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</si>
  <si>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</si>
  <si>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</si>
  <si>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</si>
  <si>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</si>
  <si>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</si>
  <si>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</si>
  <si>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</si>
  <si>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</si>
  <si>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</si>
  <si>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</si>
  <si>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</si>
  <si>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</si>
  <si>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</si>
  <si>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</si>
  <si>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</si>
  <si>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</si>
  <si>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</si>
  <si>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</si>
  <si>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</si>
  <si>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</si>
  <si>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</si>
  <si>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</si>
  <si>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</si>
  <si>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</si>
  <si>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</si>
  <si>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</si>
  <si>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</si>
  <si>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</si>
  <si>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</si>
  <si>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</si>
  <si>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</si>
  <si>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</si>
  <si>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</si>
  <si>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</si>
  <si>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</si>
  <si>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</si>
  <si>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</si>
  <si>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</si>
  <si>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</si>
  <si>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</si>
  <si>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</si>
  <si>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</si>
  <si>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</si>
  <si>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</si>
  <si>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</si>
  <si>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</si>
  <si>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</si>
  <si>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</si>
  <si>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</si>
  <si>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</si>
  <si>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</si>
  <si>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</si>
  <si>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</si>
  <si>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</si>
  <si>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</si>
  <si>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</si>
  <si>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</si>
  <si>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</si>
  <si>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</si>
  <si>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</si>
  <si>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</si>
  <si>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</si>
  <si>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</si>
  <si>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</si>
  <si>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</si>
  <si>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</si>
  <si>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</si>
  <si>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</si>
  <si>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</si>
  <si>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</si>
  <si>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</si>
  <si>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</si>
  <si>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</si>
  <si>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</si>
  <si>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</si>
  <si>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</si>
  <si>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</si>
  <si>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</si>
  <si>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</si>
  <si>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</si>
  <si>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</si>
  <si>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</si>
  <si>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</si>
  <si>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</si>
  <si>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</si>
  <si>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</si>
  <si>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</si>
  <si>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</si>
  <si>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</si>
  <si>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</si>
  <si>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</si>
  <si>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</si>
  <si>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</si>
  <si>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</si>
  <si>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</si>
  <si>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</si>
  <si>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</si>
  <si>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</si>
  <si>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</si>
  <si>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</si>
  <si>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</si>
  <si>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</si>
  <si>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</si>
  <si>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</si>
  <si>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</si>
  <si>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</si>
  <si>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</si>
  <si>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</si>
  <si>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</si>
  <si>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</si>
  <si>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</si>
  <si>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</si>
  <si>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</si>
  <si>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</si>
  <si>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</si>
  <si>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</si>
  <si>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</si>
  <si>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</si>
  <si>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</si>
  <si>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</si>
  <si>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</si>
  <si>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</si>
  <si>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</si>
  <si>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</si>
  <si>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</si>
  <si>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</si>
  <si>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</si>
  <si>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</si>
  <si>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</si>
  <si>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</si>
  <si>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</si>
  <si>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</si>
  <si>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</si>
  <si>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</si>
  <si>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</si>
  <si>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</si>
  <si>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</si>
  <si>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</si>
  <si>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</si>
  <si>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</si>
  <si>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</si>
  <si>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</si>
  <si>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</si>
  <si>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</si>
  <si>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</si>
  <si>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</si>
  <si>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</si>
  <si>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</si>
  <si>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</si>
  <si>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</si>
  <si>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</si>
  <si>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</si>
  <si>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</si>
  <si>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</si>
  <si>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</si>
  <si>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</si>
  <si>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</si>
  <si>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</si>
  <si>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</si>
  <si>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</si>
  <si>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</si>
  <si>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</si>
  <si>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</si>
  <si>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</si>
  <si>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</si>
  <si>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</si>
  <si>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</si>
  <si>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</si>
  <si>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</si>
  <si>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</si>
  <si>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</si>
  <si>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</si>
  <si>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</si>
  <si>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</si>
  <si>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</si>
  <si>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</si>
  <si>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</si>
  <si>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</si>
  <si>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</si>
  <si>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</si>
  <si>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</si>
  <si>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</si>
  <si>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</si>
  <si>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</si>
  <si>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</si>
  <si>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</si>
  <si>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</si>
  <si>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</si>
  <si>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</si>
  <si>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</si>
  <si>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</si>
  <si>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</si>
  <si>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</si>
  <si>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</si>
  <si>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</si>
  <si>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</si>
  <si>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</si>
  <si>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</si>
  <si>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</si>
  <si>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</si>
  <si>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</si>
  <si>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</si>
  <si>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</si>
  <si>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</si>
  <si>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</si>
  <si>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</si>
  <si>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</si>
  <si>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</si>
  <si>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</si>
  <si>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</si>
  <si>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</si>
  <si>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</si>
  <si>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</si>
  <si>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</si>
  <si>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</si>
  <si>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</si>
  <si>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</si>
  <si>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</si>
  <si>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</si>
  <si>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</si>
  <si>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</si>
  <si>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</si>
  <si>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</si>
  <si>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</si>
  <si>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</si>
  <si>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</si>
  <si>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</si>
  <si>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</si>
  <si>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</si>
  <si>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</si>
  <si>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</si>
  <si>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</si>
  <si>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</si>
  <si>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</si>
  <si>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</si>
  <si>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</si>
  <si>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</si>
  <si>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</si>
  <si>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</si>
  <si>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</si>
  <si>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</si>
  <si>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</si>
  <si>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</si>
  <si>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</si>
  <si>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</si>
  <si>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</si>
  <si>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</si>
  <si>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</si>
  <si>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</si>
  <si>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</si>
  <si>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</si>
  <si>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</si>
  <si>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</si>
  <si>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</si>
  <si>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</si>
  <si>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</si>
  <si>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</si>
  <si>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</si>
  <si>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</si>
  <si>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</si>
  <si>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</si>
  <si>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</si>
  <si>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</si>
  <si>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</si>
  <si>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</si>
  <si>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</si>
  <si>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</si>
  <si>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</si>
  <si>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</si>
  <si>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</si>
  <si>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</si>
  <si>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</si>
  <si>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</si>
  <si>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</si>
  <si>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</si>
  <si>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</si>
  <si>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</si>
  <si>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</si>
  <si>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</si>
  <si>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</si>
  <si>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</si>
  <si>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</si>
  <si>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</si>
  <si>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</si>
  <si>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</si>
  <si>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</si>
  <si>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</si>
  <si>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</si>
  <si>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</si>
  <si>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</si>
  <si>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</si>
  <si>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</si>
  <si>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</si>
  <si>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</si>
  <si>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</si>
  <si>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</si>
  <si>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</si>
  <si>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</si>
  <si>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</si>
  <si>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</si>
  <si>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</si>
  <si>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</si>
  <si>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</si>
  <si>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</si>
  <si>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</si>
  <si>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</si>
  <si>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</si>
  <si>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</si>
  <si>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</si>
  <si>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</si>
  <si>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</si>
  <si>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</si>
  <si>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</si>
  <si>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</si>
  <si>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</si>
  <si>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</si>
  <si>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</si>
  <si>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</si>
  <si>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</si>
  <si>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</si>
  <si>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</si>
  <si>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</si>
  <si>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</si>
  <si>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</si>
  <si>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</si>
  <si>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</si>
  <si>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</si>
  <si>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</si>
  <si>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</si>
  <si>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</si>
  <si>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</si>
  <si>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</si>
  <si>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</si>
  <si>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</si>
  <si>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</si>
  <si>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</si>
  <si>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</si>
  <si>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</si>
  <si>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</si>
  <si>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</si>
  <si>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</si>
  <si>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</si>
  <si>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</si>
  <si>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</si>
  <si>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</si>
  <si>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</si>
  <si>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</si>
  <si>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</si>
  <si>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</si>
  <si>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</si>
  <si>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</si>
  <si>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</si>
  <si>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</si>
  <si>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</si>
  <si>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</si>
  <si>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</si>
  <si>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</si>
  <si>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</si>
  <si>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</si>
  <si>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</si>
  <si>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</si>
  <si>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</si>
  <si>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</si>
  <si>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</si>
  <si>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</si>
  <si>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</si>
  <si>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</si>
  <si>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</si>
  <si>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</si>
  <si>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</si>
  <si>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</si>
  <si>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</si>
  <si>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</si>
  <si>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</si>
  <si>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</si>
  <si>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</si>
  <si>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</si>
  <si>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</si>
  <si>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</si>
  <si>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</si>
  <si>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</si>
  <si>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</si>
  <si>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</si>
  <si>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</si>
  <si>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</si>
  <si>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</si>
  <si>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</si>
  <si>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</si>
  <si>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</si>
  <si>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</si>
  <si>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</si>
  <si>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</si>
  <si>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</si>
  <si>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</si>
  <si>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</si>
  <si>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</si>
  <si>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</si>
  <si>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</si>
  <si>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</si>
  <si>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</si>
  <si>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</si>
  <si>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</si>
  <si>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</si>
  <si>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</si>
  <si>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</si>
  <si>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</si>
  <si>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</si>
  <si>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</si>
  <si>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</si>
  <si>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</si>
  <si>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</si>
  <si>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</si>
  <si>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</si>
  <si>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</si>
  <si>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</si>
  <si>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</si>
  <si>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</si>
  <si>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</si>
  <si>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</si>
  <si>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</si>
  <si>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</si>
  <si>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</si>
  <si>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</si>
  <si>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</si>
  <si>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</si>
  <si>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</si>
  <si>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</si>
  <si>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</si>
  <si>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</si>
  <si>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</si>
  <si>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</si>
  <si>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</si>
  <si>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</si>
  <si>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</si>
  <si>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</si>
  <si>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</si>
  <si>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</si>
  <si>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</si>
  <si>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</si>
  <si>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</si>
  <si>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</si>
  <si>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</si>
  <si>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</si>
  <si>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</si>
  <si>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</si>
  <si>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</si>
  <si>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</si>
  <si>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</si>
  <si>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</si>
  <si>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</si>
  <si>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</si>
  <si>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</si>
  <si>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</si>
  <si>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</si>
  <si>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</si>
  <si>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</si>
  <si>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</si>
  <si>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</si>
  <si>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</si>
  <si>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</si>
  <si>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</si>
  <si>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</si>
  <si>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</si>
  <si>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</si>
  <si>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</si>
  <si>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</si>
  <si>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</si>
  <si>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</si>
  <si>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</si>
  <si>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</si>
  <si>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</si>
  <si>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</si>
  <si>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</si>
  <si>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</si>
  <si>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</si>
  <si>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</si>
  <si>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</si>
  <si>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</si>
  <si>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</si>
  <si>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</si>
  <si>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</si>
  <si>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</si>
  <si>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</si>
  <si>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</si>
  <si>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</si>
  <si>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</si>
  <si>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</si>
  <si>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</si>
  <si>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</si>
  <si>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</si>
  <si>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</si>
  <si>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</si>
  <si>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</si>
  <si>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</si>
  <si>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</si>
  <si>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</si>
  <si>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</si>
  <si>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</si>
  <si>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</si>
  <si>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</si>
  <si>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</si>
  <si>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</si>
  <si>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</si>
  <si>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</si>
  <si>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</si>
  <si>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</si>
  <si>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</si>
  <si>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</si>
  <si>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</si>
  <si>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</si>
  <si>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</si>
  <si>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</si>
  <si>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</si>
  <si>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</si>
  <si>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</si>
  <si>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</si>
  <si>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</si>
  <si>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</si>
  <si>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</si>
  <si>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</si>
  <si>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</si>
  <si>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</si>
  <si>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</si>
  <si>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</si>
  <si>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</si>
  <si>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</si>
  <si>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</si>
  <si>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</si>
  <si>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</si>
  <si>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</si>
  <si>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</si>
  <si>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</si>
  <si>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</si>
  <si>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</si>
  <si>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</si>
  <si>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</si>
  <si>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</si>
  <si>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</si>
  <si>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</si>
  <si>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</si>
  <si>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</si>
  <si>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</si>
  <si>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</si>
  <si>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</si>
  <si>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</si>
  <si>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</si>
  <si>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</si>
  <si>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</si>
  <si>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</si>
  <si>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</si>
  <si>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</si>
  <si>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</si>
  <si>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</si>
  <si>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</si>
  <si>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</si>
  <si>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</si>
  <si>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</si>
  <si>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</si>
  <si>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</si>
  <si>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</si>
  <si>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</si>
  <si>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</si>
  <si>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</si>
  <si>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</si>
  <si>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</si>
  <si>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</si>
  <si>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</si>
  <si>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</si>
  <si>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</si>
  <si>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</si>
  <si>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</si>
  <si>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</si>
  <si>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</si>
  <si>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</si>
  <si>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</si>
  <si>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</si>
  <si>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</si>
  <si>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</si>
  <si>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</si>
  <si>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</si>
  <si>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</si>
  <si>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</si>
  <si>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</si>
  <si>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</si>
  <si>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</si>
  <si>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</si>
  <si>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</si>
  <si>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</si>
  <si>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</si>
  <si>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</si>
  <si>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</si>
  <si>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</si>
  <si>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</si>
  <si>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</si>
  <si>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</si>
  <si>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</si>
  <si>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</si>
  <si>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</si>
  <si>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</si>
  <si>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</si>
  <si>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</si>
  <si>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</si>
  <si>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</si>
  <si>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</si>
  <si>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</si>
  <si>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</si>
  <si>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</si>
  <si>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</si>
  <si>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</si>
  <si>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</si>
  <si>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</si>
  <si>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</si>
  <si>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</si>
  <si>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</si>
  <si>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</si>
  <si>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</si>
  <si>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</si>
  <si>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</si>
  <si>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</si>
  <si>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</si>
  <si>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</si>
  <si>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</si>
  <si>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</si>
  <si>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</si>
  <si>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</si>
  <si>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</si>
  <si>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</si>
  <si>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</si>
  <si>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</si>
  <si>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</si>
  <si>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</si>
  <si>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</si>
  <si>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</si>
  <si>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</si>
  <si>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</si>
  <si>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</si>
  <si>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</si>
  <si>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</si>
  <si>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</si>
  <si>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</si>
  <si>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</si>
  <si>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</si>
  <si>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</si>
  <si>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</si>
  <si>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</si>
  <si>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</si>
  <si>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</si>
  <si>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</si>
  <si>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</si>
  <si>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</si>
  <si>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</si>
  <si>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</si>
  <si>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</si>
  <si>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</si>
  <si>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</si>
  <si>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</si>
  <si>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</si>
  <si>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</si>
  <si>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</si>
  <si>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</si>
  <si>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</si>
  <si>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</si>
  <si>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</si>
  <si>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</si>
  <si>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</si>
  <si>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</si>
  <si>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</si>
  <si>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</si>
  <si>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</si>
  <si>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</si>
  <si>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</si>
  <si>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</si>
  <si>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</si>
  <si>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</si>
  <si>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</si>
  <si>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</si>
  <si>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</si>
  <si>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</si>
  <si>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</si>
  <si>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</si>
  <si>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</si>
  <si>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</si>
  <si>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</si>
  <si>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</si>
  <si>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</si>
  <si>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</si>
  <si>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</si>
  <si>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</si>
  <si>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</si>
  <si>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</si>
  <si>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</si>
  <si>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</si>
  <si>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</si>
  <si>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</si>
  <si>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</si>
  <si>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</si>
  <si>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</si>
  <si>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</si>
  <si>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</si>
  <si>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</si>
  <si>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</si>
  <si>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</si>
  <si>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</si>
  <si>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</si>
  <si>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</si>
  <si>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</si>
  <si>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</si>
  <si>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</si>
  <si>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</si>
  <si>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</si>
  <si>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</si>
  <si>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</si>
  <si>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</si>
  <si>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</si>
  <si>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</si>
  <si>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</si>
  <si>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</si>
  <si>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</si>
  <si>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</si>
  <si>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</si>
  <si>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</si>
  <si>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</si>
  <si>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</si>
  <si>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</si>
  <si>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</si>
  <si>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</si>
  <si>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</si>
  <si>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</si>
  <si>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</si>
  <si>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</si>
  <si>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</si>
  <si>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</si>
  <si>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</si>
  <si>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</si>
  <si>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</si>
  <si>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</si>
  <si>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</si>
  <si>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</si>
  <si>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</si>
  <si>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</si>
  <si>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</si>
  <si>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</si>
  <si>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</si>
  <si>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</si>
  <si>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</si>
  <si>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</si>
  <si>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</si>
  <si>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</si>
  <si>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</si>
  <si>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</si>
  <si>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</si>
  <si>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</si>
  <si>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</si>
  <si>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</si>
  <si>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</si>
  <si>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</si>
  <si>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</si>
  <si>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</si>
  <si>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</si>
  <si>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</si>
  <si>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</si>
  <si>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</si>
  <si>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</si>
  <si>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</si>
  <si>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</si>
  <si>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</si>
  <si>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</si>
  <si>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</si>
  <si>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</si>
  <si>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</si>
  <si>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</si>
  <si>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</si>
  <si>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</si>
  <si>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</si>
  <si>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</si>
  <si>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</si>
  <si>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</si>
  <si>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</si>
  <si>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</si>
  <si>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</si>
  <si>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</si>
  <si>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</si>
  <si>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</si>
  <si>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</si>
  <si>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</si>
  <si>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</si>
  <si>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</si>
  <si>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</si>
  <si>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</si>
  <si>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</si>
  <si>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</si>
  <si>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</si>
  <si>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</si>
  <si>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</si>
  <si>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</si>
  <si>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</si>
  <si>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</si>
  <si>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</si>
  <si>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</si>
  <si>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</si>
  <si>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</si>
  <si>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</si>
  <si>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</si>
  <si>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</si>
  <si>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</si>
  <si>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</si>
  <si>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</si>
  <si>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</si>
  <si>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</si>
  <si>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</si>
  <si>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</si>
  <si>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</si>
  <si>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</si>
  <si>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</si>
  <si>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</si>
  <si>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</si>
  <si>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</si>
  <si>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</si>
  <si>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</si>
  <si>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</si>
  <si>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</si>
  <si>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</si>
  <si>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</si>
  <si>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</si>
  <si>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</si>
  <si>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</si>
  <si>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</si>
  <si>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</si>
  <si>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</si>
  <si>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</si>
  <si>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</si>
  <si>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</si>
  <si>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</si>
  <si>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</si>
  <si>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</si>
  <si>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</si>
  <si>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</si>
  <si>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</si>
  <si>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</si>
  <si>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</si>
  <si>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</si>
  <si>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</si>
  <si>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</si>
  <si>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</si>
  <si>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</si>
  <si>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</si>
  <si>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</si>
  <si>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</si>
  <si>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</si>
  <si>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</si>
  <si>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</si>
  <si>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</si>
  <si>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</si>
  <si>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</si>
  <si>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</si>
  <si>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</si>
  <si>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</si>
  <si>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</si>
  <si>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</si>
  <si>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</si>
  <si>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</si>
  <si>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</si>
  <si>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</si>
  <si>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</si>
  <si>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</si>
  <si>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</si>
  <si>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</si>
  <si>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</si>
  <si>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</si>
  <si>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</si>
  <si>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</si>
  <si>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</si>
  <si>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</si>
  <si>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</si>
  <si>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</si>
  <si>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</si>
  <si>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</si>
  <si>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</si>
  <si>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</si>
  <si>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</si>
  <si>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</si>
  <si>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</si>
  <si>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</si>
  <si>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</si>
  <si>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</si>
  <si>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</si>
  <si>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</si>
  <si>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</si>
  <si>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</si>
  <si>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</si>
  <si>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</si>
  <si>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</si>
  <si>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</si>
  <si>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</si>
  <si>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</si>
  <si>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</si>
  <si>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</si>
  <si>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</si>
  <si>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</si>
  <si>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</si>
  <si>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</si>
  <si>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</si>
  <si>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</si>
  <si>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</si>
  <si>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</si>
  <si>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</si>
  <si>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</si>
  <si>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</si>
  <si>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</si>
  <si>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</si>
  <si>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</si>
  <si>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</si>
  <si>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</si>
  <si>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</si>
  <si>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</si>
  <si>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</si>
  <si>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</si>
  <si>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</si>
  <si>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</si>
  <si>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</si>
  <si>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</si>
  <si>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</si>
  <si>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</si>
  <si>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</si>
  <si>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</si>
  <si>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</si>
  <si>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</si>
  <si>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</si>
  <si>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</si>
  <si>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</si>
  <si>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</si>
  <si>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</si>
  <si>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</si>
  <si>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</si>
  <si>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</si>
  <si>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</si>
  <si>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</si>
  <si>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</si>
  <si>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</si>
  <si>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</si>
  <si>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</si>
  <si>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</si>
  <si>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</si>
  <si>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</si>
  <si>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</si>
  <si>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</si>
  <si>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</si>
  <si>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</si>
  <si>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</si>
  <si>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</si>
  <si>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</si>
  <si>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</si>
  <si>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</si>
  <si>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</si>
  <si>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</si>
  <si>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</si>
  <si>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</si>
  <si>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</si>
  <si>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</si>
  <si>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</si>
  <si>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</si>
  <si>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</si>
  <si>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</si>
  <si>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</si>
  <si>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</si>
  <si>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</si>
  <si>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</si>
  <si>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</si>
  <si>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</si>
  <si>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</si>
  <si>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</si>
  <si>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</si>
  <si>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</si>
  <si>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</si>
  <si>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</si>
  <si>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</si>
  <si>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</si>
  <si>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</si>
  <si>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</si>
  <si>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</si>
  <si>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</si>
  <si>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</si>
  <si>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</si>
  <si>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</si>
  <si>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</si>
  <si>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</si>
  <si>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</si>
  <si>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</si>
  <si>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</si>
  <si>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</si>
  <si>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</si>
  <si>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</si>
  <si>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</si>
  <si>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</si>
  <si>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</si>
  <si>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</si>
  <si>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</si>
  <si>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</si>
  <si>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</si>
  <si>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</si>
  <si>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</si>
  <si>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</si>
  <si>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</si>
  <si>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</si>
  <si>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</si>
  <si>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</si>
  <si>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</si>
  <si>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</si>
  <si>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</si>
  <si>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</si>
  <si>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</si>
  <si>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</si>
  <si>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</si>
  <si>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</si>
  <si>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</si>
  <si>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</si>
  <si>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</si>
  <si>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</si>
  <si>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</si>
  <si>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</si>
  <si>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</si>
  <si>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</si>
  <si>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</si>
  <si>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</si>
  <si>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</si>
  <si>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</si>
  <si>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</si>
  <si>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</si>
  <si>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</si>
  <si>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</si>
  <si>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</si>
  <si>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</si>
  <si>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</si>
  <si>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</si>
  <si>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</si>
  <si>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</si>
  <si>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</si>
  <si>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</si>
  <si>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</si>
  <si>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</si>
  <si>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</si>
  <si>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</si>
  <si>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</si>
  <si>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</si>
  <si>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</si>
  <si>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</si>
  <si>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</si>
  <si>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</si>
  <si>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</si>
  <si>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</si>
  <si>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</si>
  <si>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</si>
  <si>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</si>
  <si>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</si>
  <si>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</si>
  <si>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</si>
  <si>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</si>
  <si>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</si>
  <si>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</si>
  <si>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</si>
  <si>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</si>
  <si>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</si>
  <si>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</si>
  <si>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</si>
  <si>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</si>
  <si>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</si>
  <si>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</si>
  <si>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</si>
  <si>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</si>
  <si>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</si>
  <si>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</si>
  <si>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</si>
  <si>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</si>
  <si>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</si>
  <si>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</si>
  <si>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</si>
  <si>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</si>
  <si>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</si>
  <si>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</si>
  <si>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</si>
  <si>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</si>
  <si>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</si>
  <si>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</si>
  <si>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</si>
  <si>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</si>
  <si>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</si>
  <si>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</si>
  <si>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</si>
  <si>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</si>
  <si>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</si>
  <si>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</si>
  <si>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</si>
  <si>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</si>
  <si>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</si>
  <si>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</si>
  <si>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</si>
  <si>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</si>
  <si>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</si>
  <si>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</si>
  <si>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</si>
  <si>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</si>
  <si>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</si>
  <si>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</si>
  <si>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</si>
  <si>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</si>
  <si>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</si>
  <si>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</si>
  <si>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</si>
  <si>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</si>
  <si>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</si>
  <si>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</si>
  <si>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</si>
  <si>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</si>
  <si>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</si>
  <si>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</si>
  <si>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</si>
  <si>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</si>
  <si>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</si>
  <si>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</si>
  <si>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</si>
  <si>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</si>
  <si>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</si>
  <si>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</si>
  <si>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</si>
  <si>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</si>
  <si>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</si>
  <si>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</si>
  <si>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</si>
  <si>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</si>
  <si>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</si>
  <si>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</si>
  <si>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</si>
  <si>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</si>
  <si>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</si>
  <si>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</si>
  <si>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</si>
  <si>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</si>
  <si>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</si>
  <si>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</si>
  <si>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</si>
  <si>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</si>
  <si>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</si>
  <si>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</si>
  <si>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</si>
  <si>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</si>
  <si>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</si>
  <si>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</si>
  <si>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</si>
  <si>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</si>
  <si>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</si>
  <si>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</si>
  <si>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</si>
  <si>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</si>
  <si>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</si>
  <si>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</si>
  <si>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</si>
  <si>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</si>
  <si>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</si>
  <si>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</si>
  <si>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</si>
  <si>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</si>
  <si>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</si>
  <si>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</si>
  <si>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</si>
  <si>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</si>
  <si>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</si>
  <si>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</si>
  <si>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</si>
  <si>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</si>
  <si>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</si>
  <si>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</si>
  <si>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</si>
  <si>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</si>
  <si>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</si>
  <si>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</si>
  <si>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</si>
  <si>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</si>
  <si>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</si>
  <si>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</si>
  <si>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</si>
  <si>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</si>
  <si>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</si>
  <si>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</si>
  <si>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</si>
  <si>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</si>
  <si>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</si>
  <si>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</si>
  <si>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</si>
  <si>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</si>
  <si>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</si>
  <si>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</si>
  <si>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</si>
  <si>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</si>
  <si>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</si>
  <si>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</si>
  <si>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</si>
  <si>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</si>
  <si>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</si>
  <si>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</si>
  <si>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</si>
  <si>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</si>
  <si>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</si>
  <si>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</si>
  <si>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</si>
  <si>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</si>
  <si>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</si>
  <si>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</si>
  <si>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</si>
  <si>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</si>
  <si>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</si>
  <si>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</si>
  <si>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</si>
  <si>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</si>
  <si>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</si>
  <si>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</si>
  <si>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</si>
  <si>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</si>
  <si>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</si>
  <si>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</si>
  <si>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</si>
  <si>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</si>
  <si>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</si>
  <si>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</si>
  <si>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</si>
  <si>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</si>
  <si>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</si>
  <si>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</si>
  <si>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</si>
  <si>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</si>
  <si>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</si>
  <si>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</si>
  <si>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</si>
  <si>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</si>
  <si>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</si>
  <si>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</si>
  <si>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</si>
  <si>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</si>
  <si>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</si>
  <si>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</si>
  <si>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</si>
  <si>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</si>
  <si>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</si>
  <si>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</si>
  <si>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</si>
  <si>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</si>
  <si>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</si>
  <si>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</si>
  <si>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</si>
  <si>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</si>
  <si>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</si>
  <si>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</si>
  <si>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</si>
  <si>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</si>
  <si>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</si>
  <si>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</si>
  <si>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</si>
  <si>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</si>
  <si>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</si>
  <si>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</si>
  <si>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</si>
  <si>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</si>
  <si>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</si>
  <si>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</si>
  <si>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</si>
  <si>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</si>
  <si>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</si>
  <si>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</si>
  <si>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</si>
  <si>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</si>
  <si>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</si>
  <si>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</si>
  <si>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</si>
  <si>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</si>
  <si>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</si>
  <si>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</si>
  <si>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</si>
  <si>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</si>
  <si>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</si>
  <si>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</si>
  <si>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</si>
  <si>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</si>
  <si>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</si>
  <si>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</si>
  <si>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</si>
  <si>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</si>
  <si>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</si>
  <si>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</si>
  <si>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</si>
  <si>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</si>
  <si>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</si>
  <si>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</si>
  <si>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</si>
  <si>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</si>
  <si>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</si>
  <si>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</si>
  <si>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</si>
  <si>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</si>
  <si>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</si>
  <si>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</si>
  <si>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</si>
  <si>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</si>
  <si>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</si>
  <si>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</si>
  <si>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</si>
  <si>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</si>
  <si>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</si>
  <si>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</si>
  <si>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</si>
  <si>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</si>
  <si>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</si>
  <si>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</si>
  <si>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</si>
  <si>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</si>
  <si>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</si>
  <si>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</si>
  <si>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</si>
  <si>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</si>
  <si>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</si>
  <si>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</si>
  <si>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</si>
  <si>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</si>
  <si>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</si>
  <si>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</si>
  <si>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</si>
  <si>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</si>
  <si>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</si>
  <si>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</si>
  <si>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</si>
  <si>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</si>
  <si>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</si>
  <si>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</si>
  <si>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</si>
  <si>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</si>
  <si>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</si>
  <si>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</si>
  <si>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</si>
  <si>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</si>
  <si>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</si>
  <si>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</si>
  <si>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</si>
  <si>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</si>
  <si>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</si>
  <si>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</si>
  <si>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</si>
  <si>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</si>
  <si>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</si>
  <si>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</si>
  <si>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</si>
  <si>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</si>
  <si>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</si>
  <si>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</si>
  <si>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</si>
  <si>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</si>
  <si>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</si>
  <si>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</si>
  <si>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</si>
  <si>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</si>
  <si>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</si>
  <si>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</si>
  <si>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</si>
  <si>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</si>
  <si>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</si>
  <si>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</si>
  <si>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</si>
  <si>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</si>
  <si>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</si>
  <si>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</si>
  <si>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</si>
  <si>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</si>
  <si>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</si>
  <si>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</si>
  <si>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</si>
  <si>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</si>
  <si>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</si>
  <si>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</si>
  <si>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</si>
  <si>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</si>
  <si>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</si>
  <si>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</si>
  <si>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</si>
  <si>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</si>
  <si>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</si>
  <si>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</si>
  <si>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</si>
  <si>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</si>
  <si>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</si>
  <si>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</si>
  <si>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</si>
  <si>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</si>
  <si>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</si>
  <si>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</si>
  <si>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</si>
  <si>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</si>
  <si>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</si>
  <si>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</si>
  <si>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</si>
  <si>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</si>
  <si>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</si>
  <si>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</si>
  <si>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</si>
  <si>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</si>
  <si>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</si>
  <si>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</si>
  <si>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</si>
  <si>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</si>
  <si>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</si>
  <si>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</si>
  <si>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</si>
  <si>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</si>
  <si>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</si>
  <si>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</si>
  <si>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</si>
  <si>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</si>
  <si>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</si>
  <si>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</si>
  <si>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</si>
  <si>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</si>
  <si>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</si>
  <si>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</si>
  <si>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</si>
  <si>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</si>
  <si>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</si>
  <si>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</si>
  <si>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</si>
  <si>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</si>
  <si>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</si>
  <si>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</si>
  <si>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</si>
  <si>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</si>
  <si>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</si>
  <si>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</si>
  <si>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</si>
  <si>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</si>
  <si>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</si>
  <si>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</si>
  <si>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</si>
  <si>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</si>
  <si>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</si>
  <si>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</si>
  <si>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</si>
  <si>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</si>
  <si>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</si>
  <si>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</si>
  <si>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</si>
  <si>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</si>
  <si>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</si>
  <si>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</si>
  <si>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</si>
  <si>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</si>
  <si>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</si>
  <si>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</si>
  <si>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</si>
  <si>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</si>
  <si>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</si>
  <si>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</si>
  <si>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</si>
  <si>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</si>
  <si>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</si>
  <si>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</si>
  <si>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</si>
  <si>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</si>
  <si>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</si>
  <si>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</si>
  <si>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</si>
  <si>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</si>
  <si>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</si>
  <si>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</si>
  <si>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</si>
  <si>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</si>
  <si>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</si>
  <si>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</si>
  <si>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</si>
  <si>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</si>
  <si>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</si>
  <si>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</si>
  <si>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</si>
  <si>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</si>
  <si>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</si>
  <si>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</si>
  <si>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</si>
  <si>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</si>
  <si>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</si>
  <si>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</si>
  <si>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</si>
  <si>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</si>
  <si>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</si>
  <si>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</si>
  <si>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</si>
  <si>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</si>
  <si>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</si>
  <si>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</si>
  <si>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</si>
  <si>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</si>
  <si>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</si>
  <si>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</si>
  <si>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</si>
  <si>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</si>
  <si>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</si>
  <si>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</si>
  <si>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</si>
  <si>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</si>
  <si>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</si>
  <si>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</si>
  <si>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</si>
  <si>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</si>
  <si>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</si>
  <si>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</si>
  <si>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</si>
  <si>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</si>
  <si>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</si>
  <si>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</si>
  <si>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</si>
  <si>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</si>
  <si>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</si>
  <si>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</si>
  <si>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</si>
  <si>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</si>
  <si>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</si>
  <si>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</si>
  <si>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</si>
  <si>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</si>
  <si>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</si>
  <si>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</si>
  <si>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</si>
  <si>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</si>
  <si>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</si>
  <si>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</si>
  <si>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</si>
  <si>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</si>
  <si>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</si>
  <si>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</si>
  <si>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</si>
  <si>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</si>
  <si>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</si>
  <si>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</si>
  <si>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</si>
  <si>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</si>
  <si>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</si>
  <si>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</si>
  <si>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</si>
  <si>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</si>
  <si>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</si>
  <si>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</si>
  <si>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</si>
  <si>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</si>
  <si>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</si>
  <si>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</si>
  <si>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</si>
  <si>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</si>
  <si>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</si>
  <si>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</si>
  <si>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</si>
  <si>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</si>
  <si>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</si>
  <si>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</si>
  <si>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</si>
  <si>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</si>
  <si>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</si>
  <si>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</si>
  <si>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</si>
  <si>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</si>
  <si>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</si>
  <si>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</si>
  <si>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</si>
  <si>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</si>
  <si>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</si>
  <si>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</si>
  <si>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</si>
  <si>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</si>
  <si>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</si>
  <si>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</si>
  <si>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</si>
  <si>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</si>
  <si>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</si>
  <si>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</si>
  <si>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</si>
  <si>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</si>
  <si>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</si>
  <si>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</si>
  <si>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</si>
  <si>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</si>
  <si>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</si>
  <si>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</si>
  <si>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</si>
  <si>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</si>
  <si>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</si>
  <si>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</si>
  <si>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</si>
  <si>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</si>
  <si>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</si>
  <si>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</si>
  <si>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</si>
  <si>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</si>
  <si>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</si>
  <si>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</si>
  <si>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</si>
  <si>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</si>
  <si>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</si>
  <si>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</si>
  <si>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</si>
  <si>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</si>
  <si>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</si>
  <si>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</si>
  <si>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</si>
  <si>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</si>
  <si>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</si>
  <si>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</si>
  <si>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</si>
  <si>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</si>
  <si>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</si>
  <si>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</si>
  <si>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</si>
  <si>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</si>
  <si>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</si>
  <si>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</si>
  <si>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</si>
  <si>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</si>
  <si>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</si>
  <si>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</si>
  <si>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</si>
  <si>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</si>
  <si>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</si>
  <si>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</si>
  <si>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</si>
  <si>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</si>
  <si>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</si>
  <si>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</si>
  <si>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</si>
  <si>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</si>
  <si>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</si>
  <si>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</si>
  <si>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</si>
  <si>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</si>
  <si>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</si>
  <si>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</si>
  <si>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</si>
  <si>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</si>
  <si>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</si>
  <si>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</si>
  <si>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</si>
  <si>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</si>
  <si>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</si>
  <si>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</si>
  <si>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</si>
  <si>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</si>
  <si>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</si>
  <si>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</si>
  <si>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</si>
  <si>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</si>
  <si>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</si>
  <si>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</si>
  <si>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</si>
  <si>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</si>
  <si>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</si>
  <si>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</si>
  <si>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</si>
  <si>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</si>
  <si>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</si>
  <si>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</si>
  <si>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</si>
  <si>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</si>
  <si>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</si>
  <si>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</si>
  <si>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</si>
  <si>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</si>
  <si>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</si>
  <si>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</si>
  <si>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</si>
  <si>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</si>
  <si>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</si>
  <si>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</si>
  <si>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</si>
  <si>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</si>
  <si>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</si>
  <si>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</si>
  <si>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</si>
  <si>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</si>
  <si>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</si>
  <si>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</si>
  <si>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</si>
  <si>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</si>
  <si>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</si>
  <si>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</si>
  <si>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</si>
  <si>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</si>
  <si>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</si>
  <si>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TECH</t>
  </si>
  <si>
    <t xml:space="preserve">Elne</t>
  </si>
  <si>
    <t xml:space="preserve">06168000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</si>
  <si>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</si>
  <si>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</si>
  <si>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</si>
  <si>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</si>
  <si>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</si>
  <si>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</si>
  <si>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</si>
  <si>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</si>
  <si>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</si>
  <si>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</si>
  <si>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</si>
  <si>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</si>
  <si>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</si>
  <si>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</si>
  <si>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</si>
  <si>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</si>
  <si>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</si>
  <si>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</si>
  <si>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</si>
  <si>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</si>
  <si>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</si>
  <si>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</si>
  <si>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</si>
  <si>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</si>
  <si>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</si>
  <si>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</si>
  <si>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</si>
  <si>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</si>
  <si>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</si>
  <si>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</si>
  <si>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</si>
  <si>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</si>
  <si>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</si>
  <si>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</si>
  <si>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</si>
  <si>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</si>
  <si>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</si>
  <si>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</si>
  <si>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</si>
  <si>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</si>
  <si>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</si>
  <si>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</si>
  <si>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</si>
  <si>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</si>
  <si>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</si>
  <si>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</si>
  <si>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</si>
  <si>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</si>
  <si>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</si>
  <si>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</si>
  <si>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(58,1702 %)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</si>
  <si>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</si>
  <si>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</si>
  <si>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</si>
  <si>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</si>
  <si>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</si>
  <si>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</si>
  <si>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</si>
  <si>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</si>
  <si>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</si>
  <si>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</si>
  <si>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</si>
  <si>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</si>
  <si>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</si>
  <si>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</si>
  <si>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</si>
  <si>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</si>
  <si>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</si>
  <si>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</si>
  <si>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</si>
  <si>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</si>
  <si>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Bidens frondosa</t>
  </si>
  <si>
    <t xml:space="preserve">Paspalum distichum</t>
  </si>
  <si>
    <t xml:space="preserve">Komvophoron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</si>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</sst>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15" borderId="74" xfId="0" applyFont="true" applyBorder="true" applyAlignment="true" applyProtection="true">
      <alignment horizontal="right" vertical="top" textRotation="0" wrapText="false" indent="0" shrinkToFit="false"/>
      <protection locked="true" hidden="true"/>
    </xf>
    <xf numFmtId="172" fontId="44" fillId="15"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15" borderId="78" xfId="0" applyFont="true" applyBorder="true" applyAlignment="true" applyProtection="true">
      <alignment horizontal="left" vertical="bottom" textRotation="0" wrapText="false" indent="0" shrinkToFit="false"/>
      <protection locked="true" hidden="true"/>
    </xf>
    <xf numFmtId="164" fontId="43" fillId="15" borderId="79" xfId="0" applyFont="true" applyBorder="true" applyAlignment="true" applyProtection="true">
      <alignment horizontal="right" vertical="top" textRotation="0" wrapText="false" indent="0" shrinkToFit="false"/>
      <protection locked="true" hidden="true"/>
    </xf>
    <xf numFmtId="164" fontId="108" fillId="1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64" fontId="105" fillId="0" borderId="0" xfId="0" applyFont="true" applyBorder="true" applyAlignment="true" applyProtection="true">
      <alignment horizontal="center" vertical="center"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41108</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9.48148148148148</v>
      </c>
      <c r="M5" s="324"/>
      <c r="N5" s="325" t="s">
        <v>1588</v>
      </c>
      <c r="O5" s="326" t="n">
        <v>9.28</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29</v>
      </c>
      <c r="C7" s="338" t="n">
        <v>71</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8.14285714285714</v>
      </c>
      <c r="O8" s="355" t="n">
        <f aca="false">IF(ISERROR(AVERAGE(J23:J82)),"      -",AVERAGE(J23:J82))</f>
        <v>1.14285714285714</v>
      </c>
      <c r="P8" s="356"/>
      <c r="Q8" s="281"/>
      <c r="R8" s="281"/>
      <c r="S8" s="281"/>
      <c r="T8" s="281"/>
      <c r="U8" s="281"/>
      <c r="V8" s="281"/>
      <c r="W8" s="293"/>
      <c r="X8" s="294"/>
    </row>
    <row r="9" customFormat="false" ht="13.5" hidden="false" customHeight="false" outlineLevel="0" collapsed="false">
      <c r="A9" s="314" t="s">
        <v>2636</v>
      </c>
      <c r="B9" s="357" t="n">
        <v>61.6</v>
      </c>
      <c r="C9" s="358" t="n">
        <v>56.75</v>
      </c>
      <c r="D9" s="359"/>
      <c r="E9" s="359"/>
      <c r="F9" s="360" t="n">
        <f aca="false">($B9*$B$7+$C9*$C$7)/100</f>
        <v>58.1565</v>
      </c>
      <c r="G9" s="361"/>
      <c r="H9" s="362"/>
      <c r="I9" s="363"/>
      <c r="J9" s="364"/>
      <c r="K9" s="344"/>
      <c r="L9" s="365"/>
      <c r="M9" s="354" t="s">
        <v>2637</v>
      </c>
      <c r="N9" s="355" t="n">
        <f aca="false">IF(ISERROR(STDEVP(I23:I82)),"     -",STDEVP(I23:I82))</f>
        <v>4.43241001075051</v>
      </c>
      <c r="O9" s="355" t="n">
        <f aca="false">IF(ISERROR(STDEVP(J23:J82)),"      -",STDEVP(J23:J82))</f>
        <v>0.773717943298663</v>
      </c>
      <c r="P9" s="356"/>
      <c r="Q9" s="281"/>
      <c r="R9" s="281"/>
      <c r="S9" s="281"/>
      <c r="T9" s="281"/>
      <c r="U9" s="281"/>
      <c r="V9" s="281"/>
      <c r="W9" s="366"/>
      <c r="X9" s="367"/>
    </row>
    <row r="10" customFormat="false" ht="13.5" hidden="false" customHeight="false" outlineLevel="0" collapsed="false">
      <c r="A10" s="368" t="s">
        <v>2638</v>
      </c>
      <c r="B10" s="369" t="s">
        <v>2639</v>
      </c>
      <c r="C10" s="370" t="s">
        <v>2639</v>
      </c>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13</v>
      </c>
      <c r="O11" s="377" t="n">
        <f aca="false">MAX(J23:J82)</f>
        <v>3</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8</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1</v>
      </c>
      <c r="L13" s="387"/>
      <c r="M13" s="398" t="s">
        <v>2649</v>
      </c>
      <c r="N13" s="399" t="n">
        <f aca="false">COUNTIF(F23:F82,"&gt;0")</f>
        <v>24</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21</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12</v>
      </c>
      <c r="L15" s="387"/>
      <c r="M15" s="408" t="s">
        <v>2655</v>
      </c>
      <c r="N15" s="409" t="n">
        <f aca="false">COUNTIF(J23:J82,"=1")</f>
        <v>11</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5</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1</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61.635</v>
      </c>
      <c r="C20" s="437" t="n">
        <f aca="false">SUM(C23:C82)</f>
        <v>56.755</v>
      </c>
      <c r="D20" s="438"/>
      <c r="E20" s="439" t="s">
        <v>2661</v>
      </c>
      <c r="F20" s="440" t="n">
        <f aca="false">($B20*$B$7+$C20*$C$7)/100</f>
        <v>58.1702</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17.87415</v>
      </c>
      <c r="C21" s="450" t="n">
        <f aca="false">C20*C7/100</f>
        <v>40.29605</v>
      </c>
      <c r="D21" s="382" t="str">
        <f aca="false">IF(F21=0,"",IF((ABS(F21-F19))&gt;(0.2*F21),CONCATENATE(" rec. par taxa (",F21," %) supérieur à 20 % !"),""))</f>
        <v> rec. par taxa (58,1702 %) supérieur à 20 % !</v>
      </c>
      <c r="E21" s="451" t="str">
        <f aca="false">IF(F21=0,"",IF((ABS(F21-F19))&gt;(0.2*F21),CONCATENATE("ATTENTION : écart entre rec. par grp (",F19," %) ","et",""),""))</f>
        <v>ATTENTION : écart entre rec. par grp (0 %) et</v>
      </c>
      <c r="F21" s="452" t="n">
        <f aca="false">B21+C21</f>
        <v>58.1702</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122</v>
      </c>
      <c r="B23" s="476" t="n">
        <v>6</v>
      </c>
      <c r="C23" s="477" t="n">
        <v>7</v>
      </c>
      <c r="D23" s="478" t="str">
        <f aca="false">IF(ISERROR(VLOOKUP($A23,'liste reference'!$A$7:$D$904,2,0)),IF(ISERROR(VLOOKUP($A23,'liste reference'!$B$7:$D$904,1,0)),"",VLOOKUP($A23,'liste reference'!$B$7:$D$904,1,0)),VLOOKUP($A23,'liste reference'!$A$7:$D$904,2,0))</f>
        <v>Cladophora sp.</v>
      </c>
      <c r="E23" s="478" t="e">
        <f aca="false">IF(D23="",0,VLOOKUP(D23,D$15:D22,1,0))</f>
        <v>#N/A</v>
      </c>
      <c r="F23" s="479" t="n">
        <f aca="false">($B23*$B$7+$C23*$C$7)/100</f>
        <v>6.71</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6</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1124</v>
      </c>
      <c r="Q23" s="487" t="n">
        <f aca="false">IF(ISTEXT(H23),"",(B23*$B$7/100)+(C23*$C$7/100))</f>
        <v>6.71</v>
      </c>
      <c r="R23" s="488" t="n">
        <f aca="false">IF(OR(ISTEXT(H23),Q23=0),"",IF(Q23&lt;0.1,1,IF(Q23&lt;1,2,IF(Q23&lt;10,3,IF(Q23&lt;50,4,IF(Q23&gt;=50,5,""))))))</f>
        <v>3</v>
      </c>
      <c r="S23" s="488" t="n">
        <f aca="false">IF(ISERROR(R23*I23),0,R23*I23)</f>
        <v>18</v>
      </c>
      <c r="T23" s="488" t="n">
        <f aca="false">IF(ISERROR(R23*I23*J23),0,R23*I23*J23)</f>
        <v>18</v>
      </c>
      <c r="U23" s="488" t="n">
        <f aca="false">IF(ISERROR(R23*J23),0,R23*J23)</f>
        <v>3</v>
      </c>
      <c r="V23" s="489" t="str">
        <f aca="false">IF(AND(A23="",F23=0),"",IF(F23=0,"Il manque le(s) % de rec. !",""))</f>
        <v/>
      </c>
      <c r="W23" s="490"/>
      <c r="Y23" s="491" t="str">
        <f aca="false">IF(A23="new.cod","NEWCOD",IF(AND((Z23=""),ISTEXT(A23)),A23,IF(Z23="","",INDEX('liste reference'!$A$8:$A$904,Z23))))</f>
        <v>CLASPX</v>
      </c>
      <c r="Z23" s="281" t="n">
        <f aca="false">IF(ISERROR(MATCH(A23,'liste reference'!$A$8:$A$904,0)),IF(ISERROR(MATCH(A23,'liste reference'!$B$8:$B$904,0)),"",(MATCH(A23,'liste reference'!$B$8:$B$904,0))),(MATCH(A23,'liste reference'!$A$8:$A$904,0)))</f>
        <v>23</v>
      </c>
      <c r="AA23" s="492"/>
      <c r="AB23" s="493"/>
      <c r="AC23" s="493"/>
      <c r="BB23" s="281" t="n">
        <f aca="false">IF(A23="","",1)</f>
        <v>1</v>
      </c>
    </row>
    <row r="24" customFormat="false" ht="12.75" hidden="false" customHeight="false" outlineLevel="0" collapsed="false">
      <c r="A24" s="494" t="s">
        <v>130</v>
      </c>
      <c r="B24" s="495" t="n">
        <v>1</v>
      </c>
      <c r="C24" s="496" t="n">
        <v>2</v>
      </c>
      <c r="D24" s="478" t="str">
        <f aca="false">IF(ISERROR(VLOOKUP($A24,'liste reference'!$A$7:$D$904,2,0)),IF(ISERROR(VLOOKUP($A24,'liste reference'!$B$7:$D$904,1,0)),"",VLOOKUP($A24,'liste reference'!$B$7:$D$904,1,0)),VLOOKUP($A24,'liste reference'!$A$7:$D$904,2,0))</f>
        <v>Diatoma sp.</v>
      </c>
      <c r="E24" s="497" t="e">
        <f aca="false">IF(D24="",0,VLOOKUP(D24,D$22:D23,1,0))</f>
        <v>#N/A</v>
      </c>
      <c r="F24" s="498" t="n">
        <f aca="false">($B24*$B$7+$C24*$C$7)/100</f>
        <v>1.71</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12</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6627</v>
      </c>
      <c r="Q24" s="487" t="n">
        <f aca="false">IF(ISTEXT(H24),"",(B24*$B$7/100)+(C24*$C$7/100))</f>
        <v>1.71</v>
      </c>
      <c r="R24" s="488" t="n">
        <f aca="false">IF(OR(ISTEXT(H24),Q24=0),"",IF(Q24&lt;0.1,1,IF(Q24&lt;1,2,IF(Q24&lt;10,3,IF(Q24&lt;50,4,IF(Q24&gt;=50,5,""))))))</f>
        <v>3</v>
      </c>
      <c r="S24" s="488" t="n">
        <f aca="false">IF(ISERROR(R24*I24),0,R24*I24)</f>
        <v>36</v>
      </c>
      <c r="T24" s="488" t="n">
        <f aca="false">IF(ISERROR(R24*I24*J24),0,R24*I24*J24)</f>
        <v>72</v>
      </c>
      <c r="U24" s="500" t="n">
        <f aca="false">IF(ISERROR(R24*J24),0,R24*J24)</f>
        <v>6</v>
      </c>
      <c r="V24" s="489" t="str">
        <f aca="false">IF(AND(A24="",F24=0),"",IF(F24=0,"Il manque le(s) % de rec. !",""))</f>
        <v/>
      </c>
      <c r="W24" s="490"/>
      <c r="Y24" s="491" t="str">
        <f aca="false">IF(A24="new.cod","NEWCOD",IF(AND((Z24=""),ISTEXT(A24)),A24,IF(Z24="","",INDEX('liste reference'!$A$8:$A$904,Z24))))</f>
        <v>DIASPX</v>
      </c>
      <c r="Z24" s="281" t="n">
        <f aca="false">IF(ISERROR(MATCH(A24,'liste reference'!$A$8:$A$904,0)),IF(ISERROR(MATCH(A24,'liste reference'!$B$8:$B$904,0)),"",(MATCH(A24,'liste reference'!$B$8:$B$904,0))),(MATCH(A24,'liste reference'!$A$8:$A$904,0)))</f>
        <v>26</v>
      </c>
      <c r="AA24" s="492"/>
      <c r="AB24" s="493"/>
      <c r="AC24" s="493"/>
      <c r="BB24" s="281" t="n">
        <f aca="false">IF(A24="","",1)</f>
        <v>1</v>
      </c>
    </row>
    <row r="25" customFormat="false" ht="12.75" hidden="false" customHeight="false" outlineLevel="0" collapsed="false">
      <c r="A25" s="494" t="s">
        <v>149</v>
      </c>
      <c r="B25" s="495" t="n">
        <v>11</v>
      </c>
      <c r="C25" s="496" t="n">
        <v>28</v>
      </c>
      <c r="D25" s="478" t="str">
        <f aca="false">IF(ISERROR(VLOOKUP($A25,'liste reference'!$A$7:$D$904,2,0)),IF(ISERROR(VLOOKUP($A25,'liste reference'!$B$7:$D$904,1,0)),"",VLOOKUP($A25,'liste reference'!$B$7:$D$904,1,0)),VLOOKUP($A25,'liste reference'!$A$7:$D$904,2,0))</f>
        <v>Hydrodictyon sp.</v>
      </c>
      <c r="E25" s="497" t="e">
        <f aca="false">IF(D25="",0,VLOOKUP(D25,D$22:D24,1,0))</f>
        <v>#N/A</v>
      </c>
      <c r="F25" s="498" t="n">
        <f aca="false">($B25*$B$7+$C25*$C$7)/100</f>
        <v>23.07</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6</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Hydrodictyon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5686</v>
      </c>
      <c r="Q25" s="487" t="n">
        <f aca="false">IF(ISTEXT(H25),"",(B25*$B$7/100)+(C25*$C$7/100))</f>
        <v>23.07</v>
      </c>
      <c r="R25" s="488" t="n">
        <f aca="false">IF(OR(ISTEXT(H25),Q25=0),"",IF(Q25&lt;0.1,1,IF(Q25&lt;1,2,IF(Q25&lt;10,3,IF(Q25&lt;50,4,IF(Q25&gt;=50,5,""))))))</f>
        <v>4</v>
      </c>
      <c r="S25" s="488" t="n">
        <f aca="false">IF(ISERROR(R25*I25),0,R25*I25)</f>
        <v>24</v>
      </c>
      <c r="T25" s="488" t="n">
        <f aca="false">IF(ISERROR(R25*I25*J25),0,R25*I25*J25)</f>
        <v>48</v>
      </c>
      <c r="U25" s="500" t="n">
        <f aca="false">IF(ISERROR(R25*J25),0,R25*J25)</f>
        <v>8</v>
      </c>
      <c r="V25" s="489" t="str">
        <f aca="false">IF(AND(A25="",F25=0),"",IF(F25=0,"Il manque le(s) % de rec. !",""))</f>
        <v/>
      </c>
      <c r="W25" s="490"/>
      <c r="Y25" s="491" t="str">
        <f aca="false">IF(A25="new.cod","NEWCOD",IF(AND((Z25=""),ISTEXT(A25)),A25,IF(Z25="","",INDEX('liste reference'!$A$8:$A$904,Z25))))</f>
        <v>HYISPX</v>
      </c>
      <c r="Z25" s="281" t="n">
        <f aca="false">IF(ISERROR(MATCH(A25,'liste reference'!$A$8:$A$904,0)),IF(ISERROR(MATCH(A25,'liste reference'!$B$8:$B$904,0)),"",(MATCH(A25,'liste reference'!$B$8:$B$904,0))),(MATCH(A25,'liste reference'!$A$8:$A$904,0)))</f>
        <v>32</v>
      </c>
      <c r="AA25" s="492"/>
      <c r="AB25" s="493"/>
      <c r="AC25" s="493"/>
      <c r="BB25" s="281" t="n">
        <f aca="false">IF(A25="","",1)</f>
        <v>1</v>
      </c>
    </row>
    <row r="26" customFormat="false" ht="12.75" hidden="false" customHeight="false" outlineLevel="0" collapsed="false">
      <c r="A26" s="494" t="s">
        <v>160</v>
      </c>
      <c r="B26" s="495" t="n">
        <v>0.02</v>
      </c>
      <c r="C26" s="496" t="n">
        <v>0.01</v>
      </c>
      <c r="D26" s="478" t="str">
        <f aca="false">IF(ISERROR(VLOOKUP($A26,'liste reference'!$A$7:$D$904,2,0)),IF(ISERROR(VLOOKUP($A26,'liste reference'!$B$7:$D$904,1,0)),"",VLOOKUP($A26,'liste reference'!$B$7:$D$904,1,0)),VLOOKUP($A26,'liste reference'!$A$7:$D$904,2,0))</f>
        <v>Melosira sp.</v>
      </c>
      <c r="E26" s="497" t="e">
        <f aca="false">IF(D26="",0,VLOOKUP(D26,D$22:D25,1,0))</f>
        <v>#N/A</v>
      </c>
      <c r="F26" s="498" t="n">
        <f aca="false">($B26*$B$7+$C26*$C$7)/100</f>
        <v>0.0129</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10</v>
      </c>
      <c r="J26" s="482" t="n">
        <f aca="false">IF(ISNUMBER(H26),IF(ISERROR(VLOOKUP($A26,'liste reference'!$A$7:$P$904,4,0)),IF(ISERROR(VLOOKUP($A26,'liste reference'!$B$7:$P$904,3,0)),"",VLOOKUP($A26,'liste reference'!$B$7:$P$904,3,0)),VLOOKUP($A26,'liste reference'!$A$7:$P$904,4,0)),"")</f>
        <v>1</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8714</v>
      </c>
      <c r="Q26" s="487" t="n">
        <f aca="false">IF(ISTEXT(H26),"",(B26*$B$7/100)+(C26*$C$7/100))</f>
        <v>0.0129</v>
      </c>
      <c r="R26" s="488" t="n">
        <f aca="false">IF(OR(ISTEXT(H26),Q26=0),"",IF(Q26&lt;0.1,1,IF(Q26&lt;1,2,IF(Q26&lt;10,3,IF(Q26&lt;50,4,IF(Q26&gt;=50,5,""))))))</f>
        <v>1</v>
      </c>
      <c r="S26" s="488" t="n">
        <f aca="false">IF(ISERROR(R26*I26),0,R26*I26)</f>
        <v>10</v>
      </c>
      <c r="T26" s="488" t="n">
        <f aca="false">IF(ISERROR(R26*I26*J26),0,R26*I26*J26)</f>
        <v>10</v>
      </c>
      <c r="U26" s="500" t="n">
        <f aca="false">IF(ISERROR(R26*J26),0,R26*J26)</f>
        <v>1</v>
      </c>
      <c r="V26" s="489" t="str">
        <f aca="false">IF(AND(A26="",F26=0),"",IF(F26=0,"Il manque le(s) % de rec. !",""))</f>
        <v/>
      </c>
      <c r="W26" s="490"/>
      <c r="Y26" s="491" t="str">
        <f aca="false">IF(A26="new.cod","NEWCOD",IF(AND((Z26=""),ISTEXT(A26)),A26,IF(Z26="","",INDEX('liste reference'!$A$8:$A$904,Z26))))</f>
        <v>MELSPX</v>
      </c>
      <c r="Z26" s="281" t="n">
        <f aca="false">IF(ISERROR(MATCH(A26,'liste reference'!$A$8:$A$904,0)),IF(ISERROR(MATCH(A26,'liste reference'!$B$8:$B$904,0)),"",(MATCH(A26,'liste reference'!$B$8:$B$904,0))),(MATCH(A26,'liste reference'!$A$8:$A$904,0)))</f>
        <v>36</v>
      </c>
      <c r="AA26" s="492"/>
      <c r="AB26" s="493"/>
      <c r="AC26" s="493"/>
      <c r="BB26" s="281" t="n">
        <f aca="false">IF(A26="","",1)</f>
        <v>1</v>
      </c>
    </row>
    <row r="27" customFormat="false" ht="12.75" hidden="false" customHeight="false" outlineLevel="0" collapsed="false">
      <c r="A27" s="494" t="s">
        <v>226</v>
      </c>
      <c r="B27" s="495" t="n">
        <v>0.6</v>
      </c>
      <c r="C27" s="496" t="n">
        <v>0.05</v>
      </c>
      <c r="D27" s="478" t="str">
        <f aca="false">IF(ISERROR(VLOOKUP($A27,'liste reference'!$A$7:$D$904,2,0)),IF(ISERROR(VLOOKUP($A27,'liste reference'!$B$7:$D$904,1,0)),"",VLOOKUP($A27,'liste reference'!$B$7:$D$904,1,0)),VLOOKUP($A27,'liste reference'!$A$7:$D$904,2,0))</f>
        <v>Oscillatoria sp.</v>
      </c>
      <c r="E27" s="497" t="e">
        <f aca="false">IF(D27="",0,VLOOKUP(D27,D$22:D26,1,0))</f>
        <v>#N/A</v>
      </c>
      <c r="F27" s="498" t="n">
        <f aca="false">($B27*$B$7+$C27*$C$7)/100</f>
        <v>0.2095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11</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1108</v>
      </c>
      <c r="Q27" s="487" t="n">
        <f aca="false">IF(ISTEXT(H27),"",(B27*$B$7/100)+(C27*$C$7/100))</f>
        <v>0.2095</v>
      </c>
      <c r="R27" s="488" t="n">
        <f aca="false">IF(OR(ISTEXT(H27),Q27=0),"",IF(Q27&lt;0.1,1,IF(Q27&lt;1,2,IF(Q27&lt;10,3,IF(Q27&lt;50,4,IF(Q27&gt;=50,5,""))))))</f>
        <v>2</v>
      </c>
      <c r="S27" s="488" t="n">
        <f aca="false">IF(ISERROR(R27*I27),0,R27*I27)</f>
        <v>22</v>
      </c>
      <c r="T27" s="488" t="n">
        <f aca="false">IF(ISERROR(R27*I27*J27),0,R27*I27*J27)</f>
        <v>22</v>
      </c>
      <c r="U27" s="500" t="n">
        <f aca="false">IF(ISERROR(R27*J27),0,R27*J27)</f>
        <v>2</v>
      </c>
      <c r="V27" s="489" t="str">
        <f aca="false">IF(AND(A27="",F27=0),"",IF(F27=0,"Il manque le(s) % de rec. !",""))</f>
        <v/>
      </c>
      <c r="W27" s="490"/>
      <c r="Y27" s="491" t="str">
        <f aca="false">IF(A27="new.cod","NEWCOD",IF(AND((Z27=""),ISTEXT(A27)),A27,IF(Z27="","",INDEX('liste reference'!$A$8:$A$904,Z27))))</f>
        <v>OSCSPX</v>
      </c>
      <c r="Z27" s="281" t="n">
        <f aca="false">IF(ISERROR(MATCH(A27,'liste reference'!$A$8:$A$904,0)),IF(ISERROR(MATCH(A27,'liste reference'!$B$8:$B$904,0)),"",(MATCH(A27,'liste reference'!$B$8:$B$904,0))),(MATCH(A27,'liste reference'!$A$8:$A$904,0)))</f>
        <v>56</v>
      </c>
      <c r="AA27" s="492"/>
      <c r="AB27" s="493"/>
      <c r="AC27" s="493"/>
      <c r="BB27" s="281" t="n">
        <f aca="false">IF(A27="","",1)</f>
        <v>1</v>
      </c>
    </row>
    <row r="28" customFormat="false" ht="12.75" hidden="false" customHeight="false" outlineLevel="0" collapsed="false">
      <c r="A28" s="494" t="s">
        <v>228</v>
      </c>
      <c r="B28" s="495" t="n">
        <v>0.5</v>
      </c>
      <c r="C28" s="496" t="n">
        <v>0.05</v>
      </c>
      <c r="D28" s="478" t="str">
        <f aca="false">IF(ISERROR(VLOOKUP($A28,'liste reference'!$A$7:$D$904,2,0)),IF(ISERROR(VLOOKUP($A28,'liste reference'!$B$7:$D$904,1,0)),"",VLOOKUP($A28,'liste reference'!$B$7:$D$904,1,0)),VLOOKUP($A28,'liste reference'!$A$7:$D$904,2,0))</f>
        <v>Phormidium sp.</v>
      </c>
      <c r="E28" s="497" t="e">
        <f aca="false">IF(D28="",0,VLOOKUP(D28,D$22:D27,1,0))</f>
        <v>#N/A</v>
      </c>
      <c r="F28" s="498" t="n">
        <f aca="false">($B28*$B$7+$C28*$C$7)/100</f>
        <v>0.1805</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13</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6414</v>
      </c>
      <c r="Q28" s="487" t="n">
        <f aca="false">IF(ISTEXT(H28),"",(B28*$B$7/100)+(C28*$C$7/100))</f>
        <v>0.1805</v>
      </c>
      <c r="R28" s="488" t="n">
        <f aca="false">IF(OR(ISTEXT(H28),Q28=0),"",IF(Q28&lt;0.1,1,IF(Q28&lt;1,2,IF(Q28&lt;10,3,IF(Q28&lt;50,4,IF(Q28&gt;=50,5,""))))))</f>
        <v>2</v>
      </c>
      <c r="S28" s="488" t="n">
        <f aca="false">IF(ISERROR(R28*I28),0,R28*I28)</f>
        <v>26</v>
      </c>
      <c r="T28" s="488" t="n">
        <f aca="false">IF(ISERROR(R28*I28*J28),0,R28*I28*J28)</f>
        <v>52</v>
      </c>
      <c r="U28" s="500" t="n">
        <f aca="false">IF(ISERROR(R28*J28),0,R28*J28)</f>
        <v>4</v>
      </c>
      <c r="V28" s="489" t="str">
        <f aca="false">IF(AND(A28="",F28=0),"",IF(F28=0,"Il manque le(s) % de rec. !",""))</f>
        <v/>
      </c>
      <c r="W28" s="490"/>
      <c r="Y28" s="491" t="str">
        <f aca="false">IF(A28="new.cod","NEWCOD",IF(AND((Z28=""),ISTEXT(A28)),A28,IF(Z28="","",INDEX('liste reference'!$A$8:$A$904,Z28))))</f>
        <v>PHOSPX</v>
      </c>
      <c r="Z28" s="281" t="n">
        <f aca="false">IF(ISERROR(MATCH(A28,'liste reference'!$A$8:$A$904,0)),IF(ISERROR(MATCH(A28,'liste reference'!$B$8:$B$904,0)),"",(MATCH(A28,'liste reference'!$B$8:$B$904,0))),(MATCH(A28,'liste reference'!$A$8:$A$904,0)))</f>
        <v>57</v>
      </c>
      <c r="AA28" s="492"/>
      <c r="AB28" s="493"/>
      <c r="AC28" s="493"/>
      <c r="BB28" s="281" t="n">
        <f aca="false">IF(A28="","",1)</f>
        <v>1</v>
      </c>
    </row>
    <row r="29" customFormat="false" ht="12.75" hidden="false" customHeight="false" outlineLevel="0" collapsed="false">
      <c r="A29" s="494" t="s">
        <v>258</v>
      </c>
      <c r="B29" s="495" t="n">
        <v>11</v>
      </c>
      <c r="C29" s="496" t="n">
        <v>15</v>
      </c>
      <c r="D29" s="478" t="str">
        <f aca="false">IF(ISERROR(VLOOKUP($A29,'liste reference'!$A$7:$D$904,2,0)),IF(ISERROR(VLOOKUP($A29,'liste reference'!$B$7:$D$904,1,0)),"",VLOOKUP($A29,'liste reference'!$B$7:$D$904,1,0)),VLOOKUP($A29,'liste reference'!$A$7:$D$904,2,0))</f>
        <v>Spirogyra sp.</v>
      </c>
      <c r="E29" s="497" t="e">
        <f aca="false">IF(D29="",0,VLOOKUP(D29,D$22:D28,1,0))</f>
        <v>#N/A</v>
      </c>
      <c r="F29" s="498" t="n">
        <f aca="false">($B29*$B$7+$C29*$C$7)/100</f>
        <v>13.84</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10</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1147</v>
      </c>
      <c r="Q29" s="487" t="n">
        <f aca="false">IF(ISTEXT(H29),"",(B29*$B$7/100)+(C29*$C$7/100))</f>
        <v>13.84</v>
      </c>
      <c r="R29" s="488" t="n">
        <f aca="false">IF(OR(ISTEXT(H29),Q29=0),"",IF(Q29&lt;0.1,1,IF(Q29&lt;1,2,IF(Q29&lt;10,3,IF(Q29&lt;50,4,IF(Q29&gt;=50,5,""))))))</f>
        <v>4</v>
      </c>
      <c r="S29" s="488" t="n">
        <f aca="false">IF(ISERROR(R29*I29),0,R29*I29)</f>
        <v>40</v>
      </c>
      <c r="T29" s="488" t="n">
        <f aca="false">IF(ISERROR(R29*I29*J29),0,R29*I29*J29)</f>
        <v>40</v>
      </c>
      <c r="U29" s="500" t="n">
        <f aca="false">IF(ISERROR(R29*J29),0,R29*J29)</f>
        <v>4</v>
      </c>
      <c r="V29" s="489" t="str">
        <f aca="false">IF(AND(A29="",F29=0),"",IF(F29=0,"Il manque le(s) % de rec. !",""))</f>
        <v/>
      </c>
      <c r="W29" s="490"/>
      <c r="Y29" s="491" t="str">
        <f aca="false">IF(A29="new.cod","NEWCOD",IF(AND((Z29=""),ISTEXT(A29)),A29,IF(Z29="","",INDEX('liste reference'!$A$8:$A$904,Z29))))</f>
        <v>SPISPX</v>
      </c>
      <c r="Z29" s="281" t="n">
        <f aca="false">IF(ISERROR(MATCH(A29,'liste reference'!$A$8:$A$904,0)),IF(ISERROR(MATCH(A29,'liste reference'!$B$8:$B$904,0)),"",(MATCH(A29,'liste reference'!$B$8:$B$904,0))),(MATCH(A29,'liste reference'!$A$8:$A$904,0)))</f>
        <v>69</v>
      </c>
      <c r="AA29" s="492"/>
      <c r="AB29" s="493"/>
      <c r="AC29" s="493"/>
      <c r="BB29" s="281" t="n">
        <f aca="false">IF(A29="","",1)</f>
        <v>1</v>
      </c>
    </row>
    <row r="30" customFormat="false" ht="12.75" hidden="false" customHeight="false" outlineLevel="0" collapsed="false">
      <c r="A30" s="494" t="s">
        <v>270</v>
      </c>
      <c r="B30" s="495" t="n">
        <v>0.05</v>
      </c>
      <c r="C30" s="496"/>
      <c r="D30" s="478" t="str">
        <f aca="false">IF(ISERROR(VLOOKUP($A30,'liste reference'!$A$7:$D$904,2,0)),IF(ISERROR(VLOOKUP($A30,'liste reference'!$B$7:$D$904,1,0)),"",VLOOKUP($A30,'liste reference'!$B$7:$D$904,1,0)),VLOOKUP($A30,'liste reference'!$A$7:$D$904,2,0))</f>
        <v>Tetraspora sp.</v>
      </c>
      <c r="E30" s="497" t="e">
        <f aca="false">IF(D30="",0,VLOOKUP(D30,D$22:D29,1,0))</f>
        <v>#N/A</v>
      </c>
      <c r="F30" s="498" t="n">
        <f aca="false">($B30*$B$7+$C30*$C$7)/100</f>
        <v>0.0145</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12</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Tetraspora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1138</v>
      </c>
      <c r="Q30" s="487" t="n">
        <f aca="false">IF(ISTEXT(H30),"",(B30*$B$7/100)+(C30*$C$7/100))</f>
        <v>0.0145</v>
      </c>
      <c r="R30" s="488" t="n">
        <f aca="false">IF(OR(ISTEXT(H30),Q30=0),"",IF(Q30&lt;0.1,1,IF(Q30&lt;1,2,IF(Q30&lt;10,3,IF(Q30&lt;50,4,IF(Q30&gt;=50,5,""))))))</f>
        <v>1</v>
      </c>
      <c r="S30" s="488" t="n">
        <f aca="false">IF(ISERROR(R30*I30),0,R30*I30)</f>
        <v>12</v>
      </c>
      <c r="T30" s="488" t="n">
        <f aca="false">IF(ISERROR(R30*I30*J30),0,R30*I30*J30)</f>
        <v>12</v>
      </c>
      <c r="U30" s="500" t="n">
        <f aca="false">IF(ISERROR(R30*J30),0,R30*J30)</f>
        <v>1</v>
      </c>
      <c r="V30" s="489" t="str">
        <f aca="false">IF(AND(A30="",F30=0),"",IF(F30=0,"Il manque le(s) % de rec. !",""))</f>
        <v/>
      </c>
      <c r="W30" s="490"/>
      <c r="Y30" s="491" t="str">
        <f aca="false">IF(A30="new.cod","NEWCOD",IF(AND((Z30=""),ISTEXT(A30)),A30,IF(Z30="","",INDEX('liste reference'!$A$8:$A$904,Z30))))</f>
        <v>TETSPX</v>
      </c>
      <c r="Z30" s="281" t="n">
        <f aca="false">IF(ISERROR(MATCH(A30,'liste reference'!$A$8:$A$904,0)),IF(ISERROR(MATCH(A30,'liste reference'!$B$8:$B$904,0)),"",(MATCH(A30,'liste reference'!$B$8:$B$904,0))),(MATCH(A30,'liste reference'!$A$8:$A$904,0)))</f>
        <v>73</v>
      </c>
      <c r="AA30" s="492"/>
      <c r="AB30" s="493"/>
      <c r="AC30" s="493"/>
      <c r="BB30" s="281" t="n">
        <f aca="false">IF(A30="","",1)</f>
        <v>1</v>
      </c>
    </row>
    <row r="31" customFormat="false" ht="12.75" hidden="false" customHeight="false" outlineLevel="0" collapsed="false">
      <c r="A31" s="494" t="s">
        <v>535</v>
      </c>
      <c r="B31" s="495"/>
      <c r="C31" s="496" t="n">
        <v>0.005</v>
      </c>
      <c r="D31" s="478" t="str">
        <f aca="false">IF(ISERROR(VLOOKUP($A31,'liste reference'!$A$7:$D$904,2,0)),IF(ISERROR(VLOOKUP($A31,'liste reference'!$B$7:$D$904,1,0)),"",VLOOKUP($A31,'liste reference'!$B$7:$D$904,1,0)),VLOOKUP($A31,'liste reference'!$A$7:$D$904,2,0))</f>
        <v>Plagiochila sp.</v>
      </c>
      <c r="E31" s="497" t="e">
        <f aca="false">IF(D31="",0,VLOOKUP(D31,D$22:D30,1,0))</f>
        <v>#N/A</v>
      </c>
      <c r="F31" s="498" t="n">
        <f aca="false">($B31*$B$7+$C31*$C$7)/100</f>
        <v>0.00355</v>
      </c>
      <c r="G31" s="480" t="str">
        <f aca="false">IF(A31="","",IF(ISERROR(VLOOKUP($A31,'liste reference'!$A$7:$P$904,13,0)),IF(ISERROR(VLOOKUP($A31,'liste reference'!$B$7:$P$904,12,0)),"    -",VLOOKUP($A31,'liste reference'!$B$7:$P$904,12,0)),VLOOKUP($A31,'liste reference'!$A$7:$P$904,13,0)))</f>
        <v>BRh</v>
      </c>
      <c r="H31" s="481" t="n">
        <f aca="false">IF(A31="","x",IF(ISERROR(VLOOKUP($A31,'liste reference'!$A$8:$P$904,14,0)),IF(ISERROR(VLOOKUP($A31,'liste reference'!$B$8:$P$904,13,0)),"x",VLOOKUP($A31,'liste reference'!$B$8:$P$904,13,0)),VLOOKUP($A31,'liste reference'!$A$8:$P$904,14,0)))</f>
        <v>4</v>
      </c>
      <c r="I31" s="482" t="n">
        <f aca="false">IF(ISNUMBER(H31),IF(ISERROR(VLOOKUP($A31,'liste reference'!$A$7:$P$904,3,0)),IF(ISERROR(VLOOKUP($A31,'liste reference'!$B$7:$P$904,2,0)),"",VLOOKUP($A31,'liste reference'!$B$7:$P$904,2,0)),VLOOKUP($A31,'liste reference'!$A$7:$P$904,3,0)),"")</f>
        <v>0</v>
      </c>
      <c r="J31" s="482" t="n">
        <f aca="false">IF(ISNUMBER(H31),IF(ISERROR(VLOOKUP($A31,'liste reference'!$A$7:$P$904,4,0)),IF(ISERROR(VLOOKUP($A31,'liste reference'!$B$7:$P$904,3,0)),"",VLOOKUP($A31,'liste reference'!$B$7:$P$904,3,0)),VLOOKUP($A31,'liste reference'!$A$7:$P$904,4,0)),"")</f>
        <v>0</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Plagiochila sp.</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19915</v>
      </c>
      <c r="Q31" s="487" t="n">
        <f aca="false">IF(ISTEXT(H31),"",(B31*$B$7/100)+(C31*$C$7/100))</f>
        <v>0.00355</v>
      </c>
      <c r="R31" s="488" t="n">
        <f aca="false">IF(OR(ISTEXT(H31),Q31=0),"",IF(Q31&lt;0.1,1,IF(Q31&lt;1,2,IF(Q31&lt;10,3,IF(Q31&lt;50,4,IF(Q31&gt;=50,5,""))))))</f>
        <v>1</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PLGSPX</v>
      </c>
      <c r="Z31" s="281" t="n">
        <f aca="false">IF(ISERROR(MATCH(A31,'liste reference'!$A$8:$A$904,0)),IF(ISERROR(MATCH(A31,'liste reference'!$B$8:$B$904,0)),"",(MATCH(A31,'liste reference'!$B$8:$B$904,0))),(MATCH(A31,'liste reference'!$A$8:$A$904,0)))</f>
        <v>125</v>
      </c>
      <c r="AA31" s="492"/>
      <c r="AB31" s="493"/>
      <c r="AC31" s="493"/>
      <c r="BB31" s="281" t="n">
        <f aca="false">IF(A31="","",1)</f>
        <v>1</v>
      </c>
    </row>
    <row r="32" customFormat="false" ht="12.75" hidden="false" customHeight="false" outlineLevel="0" collapsed="false">
      <c r="A32" s="494" t="s">
        <v>1227</v>
      </c>
      <c r="B32" s="495" t="n">
        <v>0.02</v>
      </c>
      <c r="C32" s="496" t="n">
        <v>0.15</v>
      </c>
      <c r="D32" s="478" t="str">
        <f aca="false">IF(ISERROR(VLOOKUP($A32,'liste reference'!$A$7:$D$904,2,0)),IF(ISERROR(VLOOKUP($A32,'liste reference'!$B$7:$D$904,1,0)),"",VLOOKUP($A32,'liste reference'!$B$7:$D$904,1,0)),VLOOKUP($A32,'liste reference'!$A$7:$D$904,2,0))</f>
        <v>Apium nodiflorum</v>
      </c>
      <c r="E32" s="497" t="e">
        <f aca="false">IF(D32="",0,VLOOKUP(D32,D$22:D31,1,0))</f>
        <v>#N/A</v>
      </c>
      <c r="F32" s="498" t="n">
        <f aca="false">($B32*$B$7+$C32*$C$7)/100</f>
        <v>0.1123</v>
      </c>
      <c r="G32" s="480" t="str">
        <f aca="false">IF(A32="","",IF(ISERROR(VLOOKUP($A32,'liste reference'!$A$7:$P$904,13,0)),IF(ISERROR(VLOOKUP($A32,'liste reference'!$B$7:$P$904,12,0)),"    -",VLOOKUP($A32,'liste reference'!$B$7:$P$904,12,0)),VLOOKUP($A32,'liste reference'!$A$7:$P$904,13,0)))</f>
        <v>PHy</v>
      </c>
      <c r="H32" s="481" t="n">
        <f aca="false">IF(A32="","x",IF(ISERROR(VLOOKUP($A32,'liste reference'!$A$8:$P$904,14,0)),IF(ISERROR(VLOOKUP($A32,'liste reference'!$B$8:$P$904,13,0)),"x",VLOOKUP($A32,'liste reference'!$B$8:$P$904,13,0)),VLOOKUP($A32,'liste reference'!$A$8:$P$904,14,0)))</f>
        <v>7</v>
      </c>
      <c r="I32" s="482" t="n">
        <f aca="false">IF(ISNUMBER(H32),IF(ISERROR(VLOOKUP($A32,'liste reference'!$A$7:$P$904,3,0)),IF(ISERROR(VLOOKUP($A32,'liste reference'!$B$7:$P$904,2,0)),"",VLOOKUP($A32,'liste reference'!$B$7:$P$904,2,0)),VLOOKUP($A32,'liste reference'!$A$7:$P$904,3,0)),"")</f>
        <v>10</v>
      </c>
      <c r="J32" s="482" t="n">
        <f aca="false">IF(ISNUMBER(H32),IF(ISERROR(VLOOKUP($A32,'liste reference'!$A$7:$P$904,4,0)),IF(ISERROR(VLOOKUP($A32,'liste reference'!$B$7:$P$904,3,0)),"",VLOOKUP($A32,'liste reference'!$B$7:$P$904,3,0)),VLOOKUP($A32,'liste reference'!$A$7:$P$904,4,0)),"")</f>
        <v>1</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1974</v>
      </c>
      <c r="Q32" s="487" t="n">
        <f aca="false">IF(ISTEXT(H32),"",(B32*$B$7/100)+(C32*$C$7/100))</f>
        <v>0.1123</v>
      </c>
      <c r="R32" s="488" t="n">
        <f aca="false">IF(OR(ISTEXT(H32),Q32=0),"",IF(Q32&lt;0.1,1,IF(Q32&lt;1,2,IF(Q32&lt;10,3,IF(Q32&lt;50,4,IF(Q32&gt;=50,5,""))))))</f>
        <v>2</v>
      </c>
      <c r="S32" s="488" t="n">
        <f aca="false">IF(ISERROR(R32*I32),0,R32*I32)</f>
        <v>20</v>
      </c>
      <c r="T32" s="488" t="n">
        <f aca="false">IF(ISERROR(R32*I32*J32),0,R32*I32*J32)</f>
        <v>20</v>
      </c>
      <c r="U32" s="500" t="n">
        <f aca="false">IF(ISERROR(R32*J32),0,R32*J32)</f>
        <v>2</v>
      </c>
      <c r="V32" s="489" t="str">
        <f aca="false">IF(AND(A32="",F32=0),"",IF(F32=0,"Il manque le(s) % de rec. !",""))</f>
        <v/>
      </c>
      <c r="W32" s="490"/>
      <c r="Y32" s="491" t="str">
        <f aca="false">IF(A32="new.cod","NEWCOD",IF(AND((Z32=""),ISTEXT(A32)),A32,IF(Z32="","",INDEX('liste reference'!$A$8:$A$904,Z32))))</f>
        <v>APINOD</v>
      </c>
      <c r="Z32" s="281" t="n">
        <f aca="false">IF(ISERROR(MATCH(A32,'liste reference'!$A$8:$A$904,0)),IF(ISERROR(MATCH(A32,'liste reference'!$B$8:$B$904,0)),"",(MATCH(A32,'liste reference'!$B$8:$B$904,0))),(MATCH(A32,'liste reference'!$A$8:$A$904,0)))</f>
        <v>309</v>
      </c>
      <c r="AA32" s="492"/>
      <c r="AB32" s="493"/>
      <c r="AC32" s="493"/>
      <c r="BB32" s="281" t="n">
        <f aca="false">IF(A32="","",1)</f>
        <v>1</v>
      </c>
    </row>
    <row r="33" customFormat="false" ht="12.75" hidden="false" customHeight="false" outlineLevel="0" collapsed="false">
      <c r="A33" s="494" t="s">
        <v>1270</v>
      </c>
      <c r="B33" s="495"/>
      <c r="C33" s="496" t="n">
        <v>0.005</v>
      </c>
      <c r="D33" s="478" t="str">
        <f aca="false">IF(ISERROR(VLOOKUP($A33,'liste reference'!$A$7:$D$904,2,0)),IF(ISERROR(VLOOKUP($A33,'liste reference'!$B$7:$D$904,1,0)),"",VLOOKUP($A33,'liste reference'!$B$7:$D$904,1,0)),VLOOKUP($A33,'liste reference'!$A$7:$D$904,2,0))</f>
        <v>Callitriche stagnalis</v>
      </c>
      <c r="E33" s="497" t="e">
        <f aca="false">IF(D33="",0,VLOOKUP(D33,D$22:D32,1,0))</f>
        <v>#N/A</v>
      </c>
      <c r="F33" s="498" t="n">
        <f aca="false">($B33*$B$7+$C33*$C$7)/100</f>
        <v>0.00355</v>
      </c>
      <c r="G33" s="480" t="str">
        <f aca="false">IF(A33="","",IF(ISERROR(VLOOKUP($A33,'liste reference'!$A$7:$P$904,13,0)),IF(ISERROR(VLOOKUP($A33,'liste reference'!$B$7:$P$904,12,0)),"    -",VLOOKUP($A33,'liste reference'!$B$7:$P$904,12,0)),VLOOKUP($A33,'liste reference'!$A$7:$P$904,13,0)))</f>
        <v>PHy</v>
      </c>
      <c r="H33" s="481" t="n">
        <f aca="false">IF(A33="","x",IF(ISERROR(VLOOKUP($A33,'liste reference'!$A$8:$P$904,14,0)),IF(ISERROR(VLOOKUP($A33,'liste reference'!$B$8:$P$904,13,0)),"x",VLOOKUP($A33,'liste reference'!$B$8:$P$904,13,0)),VLOOKUP($A33,'liste reference'!$A$8:$P$904,14,0)))</f>
        <v>7</v>
      </c>
      <c r="I33" s="482" t="n">
        <f aca="false">IF(ISNUMBER(H33),IF(ISERROR(VLOOKUP($A33,'liste reference'!$A$7:$P$904,3,0)),IF(ISERROR(VLOOKUP($A33,'liste reference'!$B$7:$P$904,2,0)),"",VLOOKUP($A33,'liste reference'!$B$7:$P$904,2,0)),VLOOKUP($A33,'liste reference'!$A$7:$P$904,3,0)),"")</f>
        <v>12</v>
      </c>
      <c r="J33" s="482" t="n">
        <f aca="false">IF(ISNUMBER(H33),IF(ISERROR(VLOOKUP($A33,'liste reference'!$A$7:$P$904,4,0)),IF(ISERROR(VLOOKUP($A33,'liste reference'!$B$7:$P$904,3,0)),"",VLOOKUP($A33,'liste reference'!$B$7:$P$904,3,0)),VLOOKUP($A33,'liste reference'!$A$7:$P$904,4,0)),"")</f>
        <v>2</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Callitriche stagnalis</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1703</v>
      </c>
      <c r="Q33" s="487" t="n">
        <f aca="false">IF(ISTEXT(H33),"",(B33*$B$7/100)+(C33*$C$7/100))</f>
        <v>0.00355</v>
      </c>
      <c r="R33" s="488" t="n">
        <f aca="false">IF(OR(ISTEXT(H33),Q33=0),"",IF(Q33&lt;0.1,1,IF(Q33&lt;1,2,IF(Q33&lt;10,3,IF(Q33&lt;50,4,IF(Q33&gt;=50,5,""))))))</f>
        <v>1</v>
      </c>
      <c r="S33" s="488" t="n">
        <f aca="false">IF(ISERROR(R33*I33),0,R33*I33)</f>
        <v>12</v>
      </c>
      <c r="T33" s="488" t="n">
        <f aca="false">IF(ISERROR(R33*I33*J33),0,R33*I33*J33)</f>
        <v>24</v>
      </c>
      <c r="U33" s="500" t="n">
        <f aca="false">IF(ISERROR(R33*J33),0,R33*J33)</f>
        <v>2</v>
      </c>
      <c r="V33" s="489" t="str">
        <f aca="false">IF(AND(A33="",F33=0),"",IF(F33=0,"Il manque le(s) % de rec. !",""))</f>
        <v/>
      </c>
      <c r="W33" s="490"/>
      <c r="Y33" s="491" t="str">
        <f aca="false">IF(A33="new.cod","NEWCOD",IF(AND((Z33=""),ISTEXT(A33)),A33,IF(Z33="","",INDEX('liste reference'!$A$8:$A$904,Z33))))</f>
        <v>CALSTA</v>
      </c>
      <c r="Z33" s="281" t="n">
        <f aca="false">IF(ISERROR(MATCH(A33,'liste reference'!$A$8:$A$904,0)),IF(ISERROR(MATCH(A33,'liste reference'!$B$8:$B$904,0)),"",(MATCH(A33,'liste reference'!$B$8:$B$904,0))),(MATCH(A33,'liste reference'!$A$8:$A$904,0)))</f>
        <v>326</v>
      </c>
      <c r="AA33" s="492"/>
      <c r="AB33" s="493"/>
      <c r="AC33" s="493"/>
      <c r="BB33" s="281" t="n">
        <f aca="false">IF(A33="","",1)</f>
        <v>1</v>
      </c>
    </row>
    <row r="34" customFormat="false" ht="12.75" hidden="false" customHeight="false" outlineLevel="0" collapsed="false">
      <c r="A34" s="494" t="s">
        <v>1338</v>
      </c>
      <c r="B34" s="495" t="n">
        <v>0.2</v>
      </c>
      <c r="C34" s="496" t="n">
        <v>1</v>
      </c>
      <c r="D34" s="478" t="str">
        <f aca="false">IF(ISERROR(VLOOKUP($A34,'liste reference'!$A$7:$D$904,2,0)),IF(ISERROR(VLOOKUP($A34,'liste reference'!$B$7:$D$904,1,0)),"",VLOOKUP($A34,'liste reference'!$B$7:$D$904,1,0)),VLOOKUP($A34,'liste reference'!$A$7:$D$904,2,0))</f>
        <v>Lemna gibba</v>
      </c>
      <c r="E34" s="497" t="e">
        <f aca="false">IF(D34="",0,VLOOKUP(D34,D$22:D33,1,0))</f>
        <v>#N/A</v>
      </c>
      <c r="F34" s="501" t="n">
        <f aca="false">($B34*$B$7+$C34*$C$7)/100</f>
        <v>0.768</v>
      </c>
      <c r="G34" s="480" t="str">
        <f aca="false">IF(A34="","",IF(ISERROR(VLOOKUP($A34,'liste reference'!$A$7:$P$904,13,0)),IF(ISERROR(VLOOKUP($A34,'liste reference'!$B$7:$P$904,12,0)),"    -",VLOOKUP($A34,'liste reference'!$B$7:$P$904,12,0)),VLOOKUP($A34,'liste reference'!$A$7:$P$904,13,0)))</f>
        <v>PHy</v>
      </c>
      <c r="H34" s="481" t="n">
        <f aca="false">IF(A34="","x",IF(ISERROR(VLOOKUP($A34,'liste reference'!$A$8:$P$904,14,0)),IF(ISERROR(VLOOKUP($A34,'liste reference'!$B$8:$P$904,13,0)),"x",VLOOKUP($A34,'liste reference'!$B$8:$P$904,13,0)),VLOOKUP($A34,'liste reference'!$A$8:$P$904,14,0)))</f>
        <v>7</v>
      </c>
      <c r="I34" s="482" t="n">
        <f aca="false">IF(ISNUMBER(H34),IF(ISERROR(VLOOKUP($A34,'liste reference'!$A$7:$P$904,3,0)),IF(ISERROR(VLOOKUP($A34,'liste reference'!$B$7:$P$904,2,0)),"",VLOOKUP($A34,'liste reference'!$B$7:$P$904,2,0)),VLOOKUP($A34,'liste reference'!$A$7:$P$904,3,0)),"")</f>
        <v>5</v>
      </c>
      <c r="J34" s="482" t="n">
        <f aca="false">IF(ISNUMBER(H34),IF(ISERROR(VLOOKUP($A34,'liste reference'!$A$7:$P$904,4,0)),IF(ISERROR(VLOOKUP($A34,'liste reference'!$B$7:$P$904,3,0)),"",VLOOKUP($A34,'liste reference'!$B$7:$P$904,3,0)),VLOOKUP($A34,'liste reference'!$A$7:$P$904,4,0)),"")</f>
        <v>3</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Lemna gibba</v>
      </c>
      <c r="L34" s="502"/>
      <c r="M34" s="502"/>
      <c r="N34" s="502"/>
      <c r="O34" s="485"/>
      <c r="P34" s="503" t="n">
        <f aca="false">IF($A34="NEWCOD",IF($AC34="","No",$AC34),IF(ISTEXT($E34),"DEJA SAISI !",IF($A34="","",IF(ISERROR(VLOOKUP($A34,'liste reference'!A:S,19,FALSE())),IF(ISERROR(VLOOKUP($A34,'liste reference'!B:S,19,FALSE())),"",VLOOKUP($A34,'liste reference'!B:S,19,FALSE())),VLOOKUP($A34,'liste reference'!A:S,19,FALSE())))))</f>
        <v>1625</v>
      </c>
      <c r="Q34" s="487" t="n">
        <f aca="false">IF(ISTEXT(H34),"",(B34*$B$7/100)+(C34*$C$7/100))</f>
        <v>0.768</v>
      </c>
      <c r="R34" s="488" t="n">
        <f aca="false">IF(OR(ISTEXT(H34),Q34=0),"",IF(Q34&lt;0.1,1,IF(Q34&lt;1,2,IF(Q34&lt;10,3,IF(Q34&lt;50,4,IF(Q34&gt;=50,5,""))))))</f>
        <v>2</v>
      </c>
      <c r="S34" s="488" t="n">
        <f aca="false">IF(ISERROR(R34*I34),0,R34*I34)</f>
        <v>10</v>
      </c>
      <c r="T34" s="488" t="n">
        <f aca="false">IF(ISERROR(R34*I34*J34),0,R34*I34*J34)</f>
        <v>30</v>
      </c>
      <c r="U34" s="500" t="n">
        <f aca="false">IF(ISERROR(R34*J34),0,R34*J34)</f>
        <v>6</v>
      </c>
      <c r="V34" s="489" t="str">
        <f aca="false">IF(AND(A34="",F34=0),"",IF(F34=0,"Il manque le(s) % de rec. !",""))</f>
        <v/>
      </c>
      <c r="W34" s="490"/>
      <c r="Y34" s="491" t="str">
        <f aca="false">IF(A34="new.cod","NEWCOD",IF(AND((Z34=""),ISTEXT(A34)),A34,IF(Z34="","",INDEX('liste reference'!$A$8:$A$904,Z34))))</f>
        <v>LEMGIB</v>
      </c>
      <c r="Z34" s="281" t="n">
        <f aca="false">IF(ISERROR(MATCH(A34,'liste reference'!$A$8:$A$904,0)),IF(ISERROR(MATCH(A34,'liste reference'!$B$8:$B$904,0)),"",(MATCH(A34,'liste reference'!$B$8:$B$904,0))),(MATCH(A34,'liste reference'!$A$8:$A$904,0)))</f>
        <v>356</v>
      </c>
      <c r="AA34" s="492"/>
      <c r="AB34" s="493"/>
      <c r="AC34" s="493"/>
      <c r="BB34" s="281" t="n">
        <f aca="false">IF(A34="","",1)</f>
        <v>1</v>
      </c>
    </row>
    <row r="35" customFormat="false" ht="12.75" hidden="false" customHeight="false" outlineLevel="0" collapsed="false">
      <c r="A35" s="494" t="s">
        <v>1340</v>
      </c>
      <c r="B35" s="495" t="n">
        <v>0.25</v>
      </c>
      <c r="C35" s="496" t="n">
        <v>0.05</v>
      </c>
      <c r="D35" s="478" t="str">
        <f aca="false">IF(ISERROR(VLOOKUP($A35,'liste reference'!$A$7:$D$904,2,0)),IF(ISERROR(VLOOKUP($A35,'liste reference'!$B$7:$D$904,1,0)),"",VLOOKUP($A35,'liste reference'!$B$7:$D$904,1,0)),VLOOKUP($A35,'liste reference'!$A$7:$D$904,2,0))</f>
        <v>Lemna minor</v>
      </c>
      <c r="E35" s="497" t="e">
        <f aca="false">IF(D35="",0,VLOOKUP(D35,D$22:D34,1,0))</f>
        <v>#N/A</v>
      </c>
      <c r="F35" s="501" t="n">
        <f aca="false">($B35*$B$7+$C35*$C$7)/100</f>
        <v>0.108</v>
      </c>
      <c r="G35" s="480" t="str">
        <f aca="false">IF(A35="","",IF(ISERROR(VLOOKUP($A35,'liste reference'!$A$7:$P$904,13,0)),IF(ISERROR(VLOOKUP($A35,'liste reference'!$B$7:$P$904,12,0)),"    -",VLOOKUP($A35,'liste reference'!$B$7:$P$904,12,0)),VLOOKUP($A35,'liste reference'!$A$7:$P$904,13,0)))</f>
        <v>PHy</v>
      </c>
      <c r="H35" s="481" t="n">
        <f aca="false">IF(A35="","x",IF(ISERROR(VLOOKUP($A35,'liste reference'!$A$8:$P$904,14,0)),IF(ISERROR(VLOOKUP($A35,'liste reference'!$B$8:$P$904,13,0)),"x",VLOOKUP($A35,'liste reference'!$B$8:$P$904,13,0)),VLOOKUP($A35,'liste reference'!$A$8:$P$904,14,0)))</f>
        <v>7</v>
      </c>
      <c r="I35" s="482" t="n">
        <f aca="false">IF(ISNUMBER(H35),IF(ISERROR(VLOOKUP($A35,'liste reference'!$A$7:$P$904,3,0)),IF(ISERROR(VLOOKUP($A35,'liste reference'!$B$7:$P$904,2,0)),"",VLOOKUP($A35,'liste reference'!$B$7:$P$904,2,0)),VLOOKUP($A35,'liste reference'!$A$7:$P$904,3,0)),"")</f>
        <v>10</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Lemna minor</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1626</v>
      </c>
      <c r="Q35" s="487" t="n">
        <f aca="false">IF(ISTEXT(H35),"",(B35*$B$7/100)+(C35*$C$7/100))</f>
        <v>0.108</v>
      </c>
      <c r="R35" s="488" t="n">
        <f aca="false">IF(OR(ISTEXT(H35),Q35=0),"",IF(Q35&lt;0.1,1,IF(Q35&lt;1,2,IF(Q35&lt;10,3,IF(Q35&lt;50,4,IF(Q35&gt;=50,5,""))))))</f>
        <v>2</v>
      </c>
      <c r="S35" s="488" t="n">
        <f aca="false">IF(ISERROR(R35*I35),0,R35*I35)</f>
        <v>20</v>
      </c>
      <c r="T35" s="488" t="n">
        <f aca="false">IF(ISERROR(R35*I35*J35),0,R35*I35*J35)</f>
        <v>20</v>
      </c>
      <c r="U35" s="500" t="n">
        <f aca="false">IF(ISERROR(R35*J35),0,R35*J35)</f>
        <v>2</v>
      </c>
      <c r="V35" s="489" t="str">
        <f aca="false">IF(AND(A35="",F35=0),"",IF(F35=0,"Il manque le(s) % de rec. !",""))</f>
        <v/>
      </c>
      <c r="W35" s="490"/>
      <c r="Y35" s="491" t="str">
        <f aca="false">IF(A35="new.cod","NEWCOD",IF(AND((Z35=""),ISTEXT(A35)),A35,IF(Z35="","",INDEX('liste reference'!$A$8:$A$904,Z35))))</f>
        <v>LEMMIN</v>
      </c>
      <c r="Z35" s="281" t="n">
        <f aca="false">IF(ISERROR(MATCH(A35,'liste reference'!$A$8:$A$904,0)),IF(ISERROR(MATCH(A35,'liste reference'!$B$8:$B$904,0)),"",(MATCH(A35,'liste reference'!$B$8:$B$904,0))),(MATCH(A35,'liste reference'!$A$8:$A$904,0)))</f>
        <v>357</v>
      </c>
      <c r="AA35" s="492"/>
      <c r="AB35" s="493"/>
      <c r="AC35" s="493"/>
      <c r="BB35" s="281" t="n">
        <f aca="false">IF(A35="","",1)</f>
        <v>1</v>
      </c>
    </row>
    <row r="36" customFormat="false" ht="12.75" hidden="false" customHeight="false" outlineLevel="0" collapsed="false">
      <c r="A36" s="494" t="s">
        <v>1342</v>
      </c>
      <c r="B36" s="495" t="n">
        <v>0.05</v>
      </c>
      <c r="C36" s="496" t="n">
        <v>0.005</v>
      </c>
      <c r="D36" s="478" t="str">
        <f aca="false">IF(ISERROR(VLOOKUP($A36,'liste reference'!$A$7:$D$904,2,0)),IF(ISERROR(VLOOKUP($A36,'liste reference'!$B$7:$D$904,1,0)),"",VLOOKUP($A36,'liste reference'!$B$7:$D$904,1,0)),VLOOKUP($A36,'liste reference'!$A$7:$D$904,2,0))</f>
        <v>Lemna minuscula</v>
      </c>
      <c r="E36" s="497" t="e">
        <f aca="false">IF(D36="",0,VLOOKUP(D36,D$19:D31,1,0))</f>
        <v>#N/A</v>
      </c>
      <c r="F36" s="501" t="n">
        <f aca="false">($B36*$B$7+$C36*$C$7)/100</f>
        <v>0.01805</v>
      </c>
      <c r="G36" s="480" t="str">
        <f aca="false">IF(A36="","",IF(ISERROR(VLOOKUP($A36,'liste reference'!$A$7:$P$904,13,0)),IF(ISERROR(VLOOKUP($A36,'liste reference'!$B$7:$P$904,12,0)),"    -",VLOOKUP($A36,'liste reference'!$B$7:$P$904,12,0)),VLOOKUP($A36,'liste reference'!$A$7:$P$904,13,0)))</f>
        <v>PHy</v>
      </c>
      <c r="H36" s="481" t="n">
        <f aca="false">IF(A36="","x",IF(ISERROR(VLOOKUP($A36,'liste reference'!$A$8:$P$904,14,0)),IF(ISERROR(VLOOKUP($A36,'liste reference'!$B$8:$P$904,13,0)),"x",VLOOKUP($A36,'liste reference'!$B$8:$P$904,13,0)),VLOOKUP($A36,'liste reference'!$A$8:$P$904,14,0)))</f>
        <v>7</v>
      </c>
      <c r="I36" s="482" t="n">
        <f aca="false">IF(ISNUMBER(H36),IF(ISERROR(VLOOKUP($A36,'liste reference'!$A$7:$P$904,3,0)),IF(ISERROR(VLOOKUP($A36,'liste reference'!$B$7:$P$904,2,0)),"",VLOOKUP($A36,'liste reference'!$B$7:$P$904,2,0)),VLOOKUP($A36,'liste reference'!$A$7:$P$904,3,0)),"")</f>
        <v>0</v>
      </c>
      <c r="J36" s="482" t="n">
        <f aca="false">IF(ISNUMBER(H36),IF(ISERROR(VLOOKUP($A36,'liste reference'!$A$7:$P$904,4,0)),IF(ISERROR(VLOOKUP($A36,'liste reference'!$B$7:$P$904,3,0)),"",VLOOKUP($A36,'liste reference'!$B$7:$P$904,3,0)),VLOOKUP($A36,'liste reference'!$A$7:$P$904,4,0)),"")</f>
        <v>0</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Lemna minuscula</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1627</v>
      </c>
      <c r="Q36" s="487" t="n">
        <f aca="false">IF(ISTEXT(H36),"",(B36*$B$7/100)+(C36*$C$7/100))</f>
        <v>0.01805</v>
      </c>
      <c r="R36" s="488" t="n">
        <f aca="false">IF(OR(ISTEXT(H36),Q36=0),"",IF(Q36&lt;0.1,1,IF(Q36&lt;1,2,IF(Q36&lt;10,3,IF(Q36&lt;50,4,IF(Q36&gt;=50,5,""))))))</f>
        <v>1</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LEMMIU</v>
      </c>
      <c r="Z36" s="281" t="n">
        <f aca="false">IF(ISERROR(MATCH(A36,'liste reference'!$A$8:$A$904,0)),IF(ISERROR(MATCH(A36,'liste reference'!$B$8:$B$904,0)),"",(MATCH(A36,'liste reference'!$B$8:$B$904,0))),(MATCH(A36,'liste reference'!$A$8:$A$904,0)))</f>
        <v>358</v>
      </c>
      <c r="AA36" s="492"/>
      <c r="AB36" s="493"/>
      <c r="AC36" s="493"/>
      <c r="BB36" s="281" t="n">
        <f aca="false">IF(A36="","",1)</f>
        <v>1</v>
      </c>
    </row>
    <row r="37" customFormat="false" ht="12.75" hidden="false" customHeight="false" outlineLevel="0" collapsed="false">
      <c r="A37" s="494" t="s">
        <v>1588</v>
      </c>
      <c r="B37" s="495" t="n">
        <v>30</v>
      </c>
      <c r="C37" s="496" t="n">
        <v>2</v>
      </c>
      <c r="D37" s="478" t="str">
        <f aca="false">IF(ISERROR(VLOOKUP($A37,'liste reference'!$A$7:$D$904,2,0)),IF(ISERROR(VLOOKUP($A37,'liste reference'!$B$7:$D$904,1,0)),"",VLOOKUP($A37,'liste reference'!$B$7:$D$904,1,0)),VLOOKUP($A37,'liste reference'!$A$7:$D$904,2,0))</f>
        <v>Ranunculus penicillatus </v>
      </c>
      <c r="E37" s="497" t="e">
        <f aca="false">IF(D37="",0,VLOOKUP(D37,D$22:D36,1,0))</f>
        <v>#N/A</v>
      </c>
      <c r="F37" s="501" t="n">
        <f aca="false">($B37*$B$7+$C37*$C$7)/100</f>
        <v>10.12</v>
      </c>
      <c r="G37" s="480" t="str">
        <f aca="false">IF(A37="","",IF(ISERROR(VLOOKUP($A37,'liste reference'!$A$7:$P$904,13,0)),IF(ISERROR(VLOOKUP($A37,'liste reference'!$B$7:$P$904,12,0)),"    -",VLOOKUP($A37,'liste reference'!$B$7:$P$904,12,0)),VLOOKUP($A37,'liste reference'!$A$7:$P$904,13,0)))</f>
        <v>PHy</v>
      </c>
      <c r="H37" s="481" t="n">
        <f aca="false">IF(A37="","x",IF(ISERROR(VLOOKUP($A37,'liste reference'!$A$8:$P$904,14,0)),IF(ISERROR(VLOOKUP($A37,'liste reference'!$B$8:$P$904,13,0)),"x",VLOOKUP($A37,'liste reference'!$B$8:$P$904,13,0)),VLOOKUP($A37,'liste reference'!$A$8:$P$904,14,0)))</f>
        <v>7</v>
      </c>
      <c r="I37" s="482" t="n">
        <f aca="false">IF(ISNUMBER(H37),IF(ISERROR(VLOOKUP($A37,'liste reference'!$A$7:$P$904,3,0)),IF(ISERROR(VLOOKUP($A37,'liste reference'!$B$7:$P$904,2,0)),"",VLOOKUP($A37,'liste reference'!$B$7:$P$904,2,0)),VLOOKUP($A37,'liste reference'!$A$7:$P$904,3,0)),"")</f>
        <v>12</v>
      </c>
      <c r="J37" s="482" t="n">
        <f aca="false">IF(ISNUMBER(H37),IF(ISERROR(VLOOKUP($A37,'liste reference'!$A$7:$P$904,4,0)),IF(ISERROR(VLOOKUP($A37,'liste reference'!$B$7:$P$904,3,0)),"",VLOOKUP($A37,'liste reference'!$B$7:$P$904,3,0)),VLOOKUP($A37,'liste reference'!$A$7:$P$904,4,0)),"")</f>
        <v>1</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Ranunculus penicillatus </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1909</v>
      </c>
      <c r="Q37" s="487" t="n">
        <f aca="false">IF(ISTEXT(H37),"",(B37*$B$7/100)+(C37*$C$7/100))</f>
        <v>10.12</v>
      </c>
      <c r="R37" s="488" t="n">
        <f aca="false">IF(OR(ISTEXT(H37),Q37=0),"",IF(Q37&lt;0.1,1,IF(Q37&lt;1,2,IF(Q37&lt;10,3,IF(Q37&lt;50,4,IF(Q37&gt;=50,5,""))))))</f>
        <v>4</v>
      </c>
      <c r="S37" s="488" t="n">
        <f aca="false">IF(ISERROR(R37*I37),0,R37*I37)</f>
        <v>48</v>
      </c>
      <c r="T37" s="488" t="n">
        <f aca="false">IF(ISERROR(R37*I37*J37),0,R37*I37*J37)</f>
        <v>48</v>
      </c>
      <c r="U37" s="500" t="n">
        <f aca="false">IF(ISERROR(R37*J37),0,R37*J37)</f>
        <v>4</v>
      </c>
      <c r="V37" s="489" t="str">
        <f aca="false">IF(AND(A37="",F37=0),"",IF(F37=0,"Il manque le(s) % de rec. !",""))</f>
        <v/>
      </c>
      <c r="W37" s="490"/>
      <c r="Y37" s="491" t="str">
        <f aca="false">IF(A37="new.cod","NEWCOD",IF(AND((Z37=""),ISTEXT(A37)),A37,IF(Z37="","",INDEX('liste reference'!$A$8:$A$904,Z37))))</f>
        <v>RANPEN</v>
      </c>
      <c r="Z37" s="281" t="n">
        <f aca="false">IF(ISERROR(MATCH(A37,'liste reference'!$A$8:$A$904,0)),IF(ISERROR(MATCH(A37,'liste reference'!$B$8:$B$904,0)),"",(MATCH(A37,'liste reference'!$B$8:$B$904,0))),(MATCH(A37,'liste reference'!$A$8:$A$904,0)))</f>
        <v>463</v>
      </c>
      <c r="AA37" s="492" t="s">
        <v>2686</v>
      </c>
      <c r="AB37" s="493"/>
      <c r="AC37" s="493"/>
      <c r="BB37" s="281" t="n">
        <f aca="false">IF(A37="","",1)</f>
        <v>1</v>
      </c>
    </row>
    <row r="38" customFormat="false" ht="12.75" hidden="false" customHeight="false" outlineLevel="0" collapsed="false">
      <c r="A38" s="494" t="s">
        <v>1710</v>
      </c>
      <c r="B38" s="495" t="n">
        <v>0.005</v>
      </c>
      <c r="C38" s="496" t="n">
        <v>0.01</v>
      </c>
      <c r="D38" s="478" t="str">
        <f aca="false">IF(ISERROR(VLOOKUP($A38,'liste reference'!$A$7:$D$904,2,0)),IF(ISERROR(VLOOKUP($A38,'liste reference'!$B$7:$D$904,1,0)),"",VLOOKUP($A38,'liste reference'!$B$7:$D$904,1,0)),VLOOKUP($A38,'liste reference'!$A$7:$D$904,2,0))</f>
        <v>Agrostis stolonifera</v>
      </c>
      <c r="E38" s="497" t="e">
        <f aca="false">IF(D38="",0,VLOOKUP(D38,D$22:D37,1,0))</f>
        <v>#N/A</v>
      </c>
      <c r="F38" s="501" t="n">
        <f aca="false">($B38*$B$7+$C38*$C$7)/100</f>
        <v>0.00855</v>
      </c>
      <c r="G38" s="480" t="str">
        <f aca="false">IF(A38="","",IF(ISERROR(VLOOKUP($A38,'liste reference'!$A$7:$P$904,13,0)),IF(ISERROR(VLOOKUP($A38,'liste reference'!$B$7:$P$904,12,0)),"    -",VLOOKUP($A38,'liste reference'!$B$7:$P$904,12,0)),VLOOKUP($A38,'liste reference'!$A$7:$P$904,13,0)))</f>
        <v>PHe</v>
      </c>
      <c r="H38" s="481" t="n">
        <f aca="false">IF(A38="","x",IF(ISERROR(VLOOKUP($A38,'liste reference'!$A$8:$P$904,14,0)),IF(ISERROR(VLOOKUP($A38,'liste reference'!$B$8:$P$904,13,0)),"x",VLOOKUP($A38,'liste reference'!$B$8:$P$904,13,0)),VLOOKUP($A38,'liste reference'!$A$8:$P$904,14,0)))</f>
        <v>8</v>
      </c>
      <c r="I38" s="482" t="n">
        <f aca="false">IF(ISNUMBER(H38),IF(ISERROR(VLOOKUP($A38,'liste reference'!$A$7:$P$904,3,0)),IF(ISERROR(VLOOKUP($A38,'liste reference'!$B$7:$P$904,2,0)),"",VLOOKUP($A38,'liste reference'!$B$7:$P$904,2,0)),VLOOKUP($A38,'liste reference'!$A$7:$P$904,3,0)),"")</f>
        <v>10</v>
      </c>
      <c r="J38" s="482" t="n">
        <f aca="false">IF(ISNUMBER(H38),IF(ISERROR(VLOOKUP($A38,'liste reference'!$A$7:$P$904,4,0)),IF(ISERROR(VLOOKUP($A38,'liste reference'!$B$7:$P$904,3,0)),"",VLOOKUP($A38,'liste reference'!$B$7:$P$904,3,0)),VLOOKUP($A38,'liste reference'!$A$7:$P$904,4,0)),"")</f>
        <v>1</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Agrostis stolonifera</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1543</v>
      </c>
      <c r="Q38" s="487" t="n">
        <f aca="false">IF(ISTEXT(H38),"",(B38*$B$7/100)+(C38*$C$7/100))</f>
        <v>0.00855</v>
      </c>
      <c r="R38" s="488" t="n">
        <f aca="false">IF(OR(ISTEXT(H38),Q38=0),"",IF(Q38&lt;0.1,1,IF(Q38&lt;1,2,IF(Q38&lt;10,3,IF(Q38&lt;50,4,IF(Q38&gt;=50,5,""))))))</f>
        <v>1</v>
      </c>
      <c r="S38" s="488" t="n">
        <f aca="false">IF(ISERROR(R38*I38),0,R38*I38)</f>
        <v>10</v>
      </c>
      <c r="T38" s="488" t="n">
        <f aca="false">IF(ISERROR(R38*I38*J38),0,R38*I38*J38)</f>
        <v>10</v>
      </c>
      <c r="U38" s="500" t="n">
        <f aca="false">IF(ISERROR(R38*J38),0,R38*J38)</f>
        <v>1</v>
      </c>
      <c r="V38" s="489" t="str">
        <f aca="false">IF(AND(A38="",F38=0),"",IF(F38=0,"Il manque le(s) % de rec. !",""))</f>
        <v/>
      </c>
      <c r="W38" s="490"/>
      <c r="Y38" s="491" t="str">
        <f aca="false">IF(A38="new.cod","NEWCOD",IF(AND((Z38=""),ISTEXT(A38)),A38,IF(Z38="","",INDEX('liste reference'!$A$8:$A$904,Z38))))</f>
        <v>AGRSTO</v>
      </c>
      <c r="Z38" s="281" t="n">
        <f aca="false">IF(ISERROR(MATCH(A38,'liste reference'!$A$8:$A$904,0)),IF(ISERROR(MATCH(A38,'liste reference'!$B$8:$B$904,0)),"",(MATCH(A38,'liste reference'!$B$8:$B$904,0))),(MATCH(A38,'liste reference'!$A$8:$A$904,0)))</f>
        <v>514</v>
      </c>
      <c r="AA38" s="492"/>
      <c r="AB38" s="493"/>
      <c r="AC38" s="493"/>
      <c r="BB38" s="281" t="n">
        <f aca="false">IF(A38="","",1)</f>
        <v>1</v>
      </c>
    </row>
    <row r="39" customFormat="false" ht="12.75" hidden="false" customHeight="false" outlineLevel="0" collapsed="false">
      <c r="A39" s="494" t="s">
        <v>1910</v>
      </c>
      <c r="B39" s="495" t="n">
        <v>0.02</v>
      </c>
      <c r="C39" s="496" t="n">
        <v>0.75</v>
      </c>
      <c r="D39" s="478" t="str">
        <f aca="false">IF(ISERROR(VLOOKUP($A39,'liste reference'!$A$7:$D$904,2,0)),IF(ISERROR(VLOOKUP($A39,'liste reference'!$B$7:$D$904,1,0)),"",VLOOKUP($A39,'liste reference'!$B$7:$D$904,1,0)),VLOOKUP($A39,'liste reference'!$A$7:$D$904,2,0))</f>
        <v>Ludwigia peploides</v>
      </c>
      <c r="E39" s="497" t="e">
        <f aca="false">IF(D39="",0,VLOOKUP(D39,D$22:D38,1,0))</f>
        <v>#N/A</v>
      </c>
      <c r="F39" s="501" t="n">
        <f aca="false">($B39*$B$7+$C39*$C$7)/100</f>
        <v>0.5383</v>
      </c>
      <c r="G39" s="480" t="str">
        <f aca="false">IF(A39="","",IF(ISERROR(VLOOKUP($A39,'liste reference'!$A$7:$P$904,13,0)),IF(ISERROR(VLOOKUP($A39,'liste reference'!$B$7:$P$904,12,0)),"    -",VLOOKUP($A39,'liste reference'!$B$7:$P$904,12,0)),VLOOKUP($A39,'liste reference'!$A$7:$P$904,13,0)))</f>
        <v>PHe</v>
      </c>
      <c r="H39" s="481" t="n">
        <f aca="false">IF(A39="","x",IF(ISERROR(VLOOKUP($A39,'liste reference'!$A$8:$P$904,14,0)),IF(ISERROR(VLOOKUP($A39,'liste reference'!$B$8:$P$904,13,0)),"x",VLOOKUP($A39,'liste reference'!$B$8:$P$904,13,0)),VLOOKUP($A39,'liste reference'!$A$8:$P$904,14,0)))</f>
        <v>8</v>
      </c>
      <c r="I39" s="482" t="n">
        <f aca="false">IF(ISNUMBER(H39),IF(ISERROR(VLOOKUP($A39,'liste reference'!$A$7:$P$904,3,0)),IF(ISERROR(VLOOKUP($A39,'liste reference'!$B$7:$P$904,2,0)),"",VLOOKUP($A39,'liste reference'!$B$7:$P$904,2,0)),VLOOKUP($A39,'liste reference'!$A$7:$P$904,3,0)),"")</f>
        <v>0</v>
      </c>
      <c r="J39" s="482" t="n">
        <f aca="false">IF(ISNUMBER(H39),IF(ISERROR(VLOOKUP($A39,'liste reference'!$A$7:$P$904,4,0)),IF(ISERROR(VLOOKUP($A39,'liste reference'!$B$7:$P$904,3,0)),"",VLOOKUP($A39,'liste reference'!$B$7:$P$904,3,0)),VLOOKUP($A39,'liste reference'!$A$7:$P$904,4,0)),"")</f>
        <v>0</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Ludwigia peploides</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1856</v>
      </c>
      <c r="Q39" s="487" t="n">
        <f aca="false">IF(ISTEXT(H39),"",(B39*$B$7/100)+(C39*$C$7/100))</f>
        <v>0.5383</v>
      </c>
      <c r="R39" s="488" t="n">
        <f aca="false">IF(OR(ISTEXT(H39),Q39=0),"",IF(Q39&lt;0.1,1,IF(Q39&lt;1,2,IF(Q39&lt;10,3,IF(Q39&lt;50,4,IF(Q39&gt;=50,5,""))))))</f>
        <v>2</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LUDPEP</v>
      </c>
      <c r="Z39" s="281" t="n">
        <f aca="false">IF(ISERROR(MATCH(A39,'liste reference'!$A$8:$A$904,0)),IF(ISERROR(MATCH(A39,'liste reference'!$B$8:$B$904,0)),"",(MATCH(A39,'liste reference'!$B$8:$B$904,0))),(MATCH(A39,'liste reference'!$A$8:$A$904,0)))</f>
        <v>594</v>
      </c>
      <c r="AA39" s="492"/>
      <c r="AB39" s="493"/>
      <c r="AC39" s="493"/>
      <c r="BB39" s="281" t="n">
        <f aca="false">IF(A39="","",1)</f>
        <v>1</v>
      </c>
    </row>
    <row r="40" customFormat="false" ht="12.75" hidden="false" customHeight="false" outlineLevel="0" collapsed="false">
      <c r="A40" s="494" t="s">
        <v>1986</v>
      </c>
      <c r="B40" s="495" t="n">
        <v>0.8</v>
      </c>
      <c r="C40" s="496" t="n">
        <v>0.3</v>
      </c>
      <c r="D40" s="478" t="str">
        <f aca="false">IF(ISERROR(VLOOKUP($A40,'liste reference'!$A$7:$D$904,2,0)),IF(ISERROR(VLOOKUP($A40,'liste reference'!$B$7:$D$904,1,0)),"",VLOOKUP($A40,'liste reference'!$B$7:$D$904,1,0)),VLOOKUP($A40,'liste reference'!$A$7:$D$904,2,0))</f>
        <v>Nasturtium officinale</v>
      </c>
      <c r="E40" s="497" t="e">
        <f aca="false">IF(D40="",0,VLOOKUP(D40,D$22:D39,1,0))</f>
        <v>#N/A</v>
      </c>
      <c r="F40" s="501" t="n">
        <f aca="false">($B40*$B$7+$C40*$C$7)/100</f>
        <v>0.445</v>
      </c>
      <c r="G40" s="480" t="str">
        <f aca="false">IF(A40="","",IF(ISERROR(VLOOKUP($A40,'liste reference'!$A$7:$P$904,13,0)),IF(ISERROR(VLOOKUP($A40,'liste reference'!$B$7:$P$904,12,0)),"    -",VLOOKUP($A40,'liste reference'!$B$7:$P$904,12,0)),VLOOKUP($A40,'liste reference'!$A$7:$P$904,13,0)))</f>
        <v>PHe</v>
      </c>
      <c r="H40" s="481" t="n">
        <f aca="false">IF(A40="","x",IF(ISERROR(VLOOKUP($A40,'liste reference'!$A$8:$P$904,14,0)),IF(ISERROR(VLOOKUP($A40,'liste reference'!$B$8:$P$904,13,0)),"x",VLOOKUP($A40,'liste reference'!$B$8:$P$904,13,0)),VLOOKUP($A40,'liste reference'!$A$8:$P$904,14,0)))</f>
        <v>8</v>
      </c>
      <c r="I40" s="482" t="n">
        <f aca="false">IF(ISNUMBER(H40),IF(ISERROR(VLOOKUP($A40,'liste reference'!$A$7:$P$904,3,0)),IF(ISERROR(VLOOKUP($A40,'liste reference'!$B$7:$P$904,2,0)),"",VLOOKUP($A40,'liste reference'!$B$7:$P$904,2,0)),VLOOKUP($A40,'liste reference'!$A$7:$P$904,3,0)),"")</f>
        <v>11</v>
      </c>
      <c r="J40" s="482" t="n">
        <f aca="false">IF(ISNUMBER(H40),IF(ISERROR(VLOOKUP($A40,'liste reference'!$A$7:$P$904,4,0)),IF(ISERROR(VLOOKUP($A40,'liste reference'!$B$7:$P$904,3,0)),"",VLOOKUP($A40,'liste reference'!$B$7:$P$904,3,0)),VLOOKUP($A40,'liste reference'!$A$7:$P$904,4,0)),"")</f>
        <v>1</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Nasturtium officinale</v>
      </c>
      <c r="L40" s="499"/>
      <c r="M40" s="499"/>
      <c r="N40" s="499"/>
      <c r="O40" s="485"/>
      <c r="P40" s="486" t="n">
        <f aca="false">IF($A40="NEWCOD",IF($AC40="","No",$AC40),IF(ISTEXT($E40),"DEJA SAISI !",IF($A40="","",IF(ISERROR(VLOOKUP($A40,'liste reference'!A:S,19,FALSE())),IF(ISERROR(VLOOKUP($A40,'liste reference'!B:S,19,FALSE())),"",VLOOKUP($A40,'liste reference'!B:S,19,FALSE())),VLOOKUP($A40,'liste reference'!A:S,19,FALSE())))))</f>
        <v>1763</v>
      </c>
      <c r="Q40" s="487" t="n">
        <f aca="false">IF(ISTEXT(H40),"",(B40*$B$7/100)+(C40*$C$7/100))</f>
        <v>0.445</v>
      </c>
      <c r="R40" s="488" t="n">
        <f aca="false">IF(OR(ISTEXT(H40),Q40=0),"",IF(Q40&lt;0.1,1,IF(Q40&lt;1,2,IF(Q40&lt;10,3,IF(Q40&lt;50,4,IF(Q40&gt;=50,5,""))))))</f>
        <v>2</v>
      </c>
      <c r="S40" s="488" t="n">
        <f aca="false">IF(ISERROR(R40*I40),0,R40*I40)</f>
        <v>22</v>
      </c>
      <c r="T40" s="488" t="n">
        <f aca="false">IF(ISERROR(R40*I40*J40),0,R40*I40*J40)</f>
        <v>22</v>
      </c>
      <c r="U40" s="500" t="n">
        <f aca="false">IF(ISERROR(R40*J40),0,R40*J40)</f>
        <v>2</v>
      </c>
      <c r="V40" s="489" t="str">
        <f aca="false">IF(AND(A40="",F40=0),"",IF(F40=0,"Il manque le(s) % de rec. !",""))</f>
        <v/>
      </c>
      <c r="W40" s="490"/>
      <c r="Y40" s="491" t="str">
        <f aca="false">IF(A40="new.cod","NEWCOD",IF(AND((Z40=""),ISTEXT(A40)),A40,IF(Z40="","",INDEX('liste reference'!$A$8:$A$904,Z40))))</f>
        <v>NASOFF</v>
      </c>
      <c r="Z40" s="281" t="n">
        <f aca="false">IF(ISERROR(MATCH(A40,'liste reference'!$A$8:$A$904,0)),IF(ISERROR(MATCH(A40,'liste reference'!$B$8:$B$904,0)),"",(MATCH(A40,'liste reference'!$B$8:$B$904,0))),(MATCH(A40,'liste reference'!$A$8:$A$904,0)))</f>
        <v>628</v>
      </c>
      <c r="AA40" s="492"/>
      <c r="AB40" s="493"/>
      <c r="AC40" s="493"/>
      <c r="BB40" s="281" t="n">
        <f aca="false">IF(A40="","",1)</f>
        <v>1</v>
      </c>
    </row>
    <row r="41" customFormat="false" ht="12.75" hidden="false" customHeight="false" outlineLevel="0" collapsed="false">
      <c r="A41" s="494" t="s">
        <v>2002</v>
      </c>
      <c r="B41" s="495" t="n">
        <v>0.1</v>
      </c>
      <c r="C41" s="496" t="n">
        <v>0.1</v>
      </c>
      <c r="D41" s="478" t="str">
        <f aca="false">IF(ISERROR(VLOOKUP($A41,'liste reference'!$A$7:$D$904,2,0)),IF(ISERROR(VLOOKUP($A41,'liste reference'!$B$7:$D$904,1,0)),"",VLOOKUP($A41,'liste reference'!$B$7:$D$904,1,0)),VLOOKUP($A41,'liste reference'!$A$7:$D$904,2,0))</f>
        <v>Phalaris arundinacea</v>
      </c>
      <c r="E41" s="497" t="e">
        <f aca="false">IF(D41="",0,VLOOKUP(D41,D$22:D40,1,0))</f>
        <v>#N/A</v>
      </c>
      <c r="F41" s="501" t="n">
        <f aca="false">($B41*$B$7+$C41*$C$7)/100</f>
        <v>0.1</v>
      </c>
      <c r="G41" s="480" t="str">
        <f aca="false">IF(A41="","",IF(ISERROR(VLOOKUP($A41,'liste reference'!$A$7:$P$904,13,0)),IF(ISERROR(VLOOKUP($A41,'liste reference'!$B$7:$P$904,12,0)),"    -",VLOOKUP($A41,'liste reference'!$B$7:$P$904,12,0)),VLOOKUP($A41,'liste reference'!$A$7:$P$904,13,0)))</f>
        <v>PHe</v>
      </c>
      <c r="H41" s="481" t="n">
        <f aca="false">IF(A41="","x",IF(ISERROR(VLOOKUP($A41,'liste reference'!$A$8:$P$904,14,0)),IF(ISERROR(VLOOKUP($A41,'liste reference'!$B$8:$P$904,13,0)),"x",VLOOKUP($A41,'liste reference'!$B$8:$P$904,13,0)),VLOOKUP($A41,'liste reference'!$A$8:$P$904,14,0)))</f>
        <v>8</v>
      </c>
      <c r="I41" s="482" t="n">
        <f aca="false">IF(ISNUMBER(H41),IF(ISERROR(VLOOKUP($A41,'liste reference'!$A$7:$P$904,3,0)),IF(ISERROR(VLOOKUP($A41,'liste reference'!$B$7:$P$904,2,0)),"",VLOOKUP($A41,'liste reference'!$B$7:$P$904,2,0)),VLOOKUP($A41,'liste reference'!$A$7:$P$904,3,0)),"")</f>
        <v>10</v>
      </c>
      <c r="J41" s="482" t="n">
        <f aca="false">IF(ISNUMBER(H41),IF(ISERROR(VLOOKUP($A41,'liste reference'!$A$7:$P$904,4,0)),IF(ISERROR(VLOOKUP($A41,'liste reference'!$B$7:$P$904,3,0)),"",VLOOKUP($A41,'liste reference'!$B$7:$P$904,3,0)),VLOOKUP($A41,'liste reference'!$A$7:$P$904,4,0)),"")</f>
        <v>1</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Phalaris arundinacea</v>
      </c>
      <c r="L41" s="499"/>
      <c r="M41" s="499"/>
      <c r="N41" s="499"/>
      <c r="O41" s="485"/>
      <c r="P41" s="486" t="n">
        <f aca="false">IF($A41="NEWCOD",IF($AC41="","No",$AC41),IF(ISTEXT($E41),"DEJA SAISI !",IF($A41="","",IF(ISERROR(VLOOKUP($A41,'liste reference'!A:S,19,FALSE())),IF(ISERROR(VLOOKUP($A41,'liste reference'!B:S,19,FALSE())),"",VLOOKUP($A41,'liste reference'!B:S,19,FALSE())),VLOOKUP($A41,'liste reference'!A:S,19,FALSE())))))</f>
        <v>1577</v>
      </c>
      <c r="Q41" s="487" t="n">
        <f aca="false">IF(ISTEXT(H41),"",(B41*$B$7/100)+(C41*$C$7/100))</f>
        <v>0.1</v>
      </c>
      <c r="R41" s="488" t="n">
        <f aca="false">IF(OR(ISTEXT(H41),Q41=0),"",IF(Q41&lt;0.1,1,IF(Q41&lt;1,2,IF(Q41&lt;10,3,IF(Q41&lt;50,4,IF(Q41&gt;=50,5,""))))))</f>
        <v>2</v>
      </c>
      <c r="S41" s="488" t="n">
        <f aca="false">IF(ISERROR(R41*I41),0,R41*I41)</f>
        <v>20</v>
      </c>
      <c r="T41" s="488" t="n">
        <f aca="false">IF(ISERROR(R41*I41*J41),0,R41*I41*J41)</f>
        <v>20</v>
      </c>
      <c r="U41" s="500" t="n">
        <f aca="false">IF(ISERROR(R41*J41),0,R41*J41)</f>
        <v>2</v>
      </c>
      <c r="V41" s="489" t="str">
        <f aca="false">IF(AND(A41="",F41=0),"",IF(F41=0,"Il manque le(s) % de rec. !",""))</f>
        <v/>
      </c>
      <c r="W41" s="490"/>
      <c r="Y41" s="491" t="str">
        <f aca="false">IF(A41="new.cod","NEWCOD",IF(AND((Z41=""),ISTEXT(A41)),A41,IF(Z41="","",INDEX('liste reference'!$A$8:$A$904,Z41))))</f>
        <v>PHAARU</v>
      </c>
      <c r="Z41" s="281" t="n">
        <f aca="false">IF(ISERROR(MATCH(A41,'liste reference'!$A$8:$A$904,0)),IF(ISERROR(MATCH(A41,'liste reference'!$B$8:$B$904,0)),"",(MATCH(A41,'liste reference'!$B$8:$B$904,0))),(MATCH(A41,'liste reference'!$A$8:$A$904,0)))</f>
        <v>634</v>
      </c>
      <c r="AA41" s="492"/>
      <c r="AB41" s="493"/>
      <c r="AC41" s="493"/>
      <c r="BB41" s="281" t="n">
        <f aca="false">IF(A41="","",1)</f>
        <v>1</v>
      </c>
    </row>
    <row r="42" customFormat="false" ht="12.75" hidden="false" customHeight="false" outlineLevel="0" collapsed="false">
      <c r="A42" s="494" t="s">
        <v>2111</v>
      </c>
      <c r="B42" s="495" t="n">
        <v>0.01</v>
      </c>
      <c r="C42" s="496" t="n">
        <v>0.15</v>
      </c>
      <c r="D42" s="478" t="str">
        <f aca="false">IF(ISERROR(VLOOKUP($A42,'liste reference'!$A$7:$D$904,2,0)),IF(ISERROR(VLOOKUP($A42,'liste reference'!$B$7:$D$904,1,0)),"",VLOOKUP($A42,'liste reference'!$B$7:$D$904,1,0)),VLOOKUP($A42,'liste reference'!$A$7:$D$904,2,0))</f>
        <v>Veronica anagallis-aquatica</v>
      </c>
      <c r="E42" s="497" t="e">
        <f aca="false">IF(D42="",0,VLOOKUP(D42,D$22:D41,1,0))</f>
        <v>#N/A</v>
      </c>
      <c r="F42" s="501" t="n">
        <f aca="false">($B42*$B$7+$C42*$C$7)/100</f>
        <v>0.1094</v>
      </c>
      <c r="G42" s="480" t="str">
        <f aca="false">IF(A42="","",IF(ISERROR(VLOOKUP($A42,'liste reference'!$A$7:$P$904,13,0)),IF(ISERROR(VLOOKUP($A42,'liste reference'!$B$7:$P$904,12,0)),"    -",VLOOKUP($A42,'liste reference'!$B$7:$P$904,12,0)),VLOOKUP($A42,'liste reference'!$A$7:$P$904,13,0)))</f>
        <v>PHe</v>
      </c>
      <c r="H42" s="481" t="n">
        <f aca="false">IF(A42="","x",IF(ISERROR(VLOOKUP($A42,'liste reference'!$A$8:$P$904,14,0)),IF(ISERROR(VLOOKUP($A42,'liste reference'!$B$8:$P$904,13,0)),"x",VLOOKUP($A42,'liste reference'!$B$8:$P$904,13,0)),VLOOKUP($A42,'liste reference'!$A$8:$P$904,14,0)))</f>
        <v>8</v>
      </c>
      <c r="I42" s="482" t="n">
        <f aca="false">IF(ISNUMBER(H42),IF(ISERROR(VLOOKUP($A42,'liste reference'!$A$7:$P$904,3,0)),IF(ISERROR(VLOOKUP($A42,'liste reference'!$B$7:$P$904,2,0)),"",VLOOKUP($A42,'liste reference'!$B$7:$P$904,2,0)),VLOOKUP($A42,'liste reference'!$A$7:$P$904,3,0)),"")</f>
        <v>11</v>
      </c>
      <c r="J42" s="482" t="n">
        <f aca="false">IF(ISNUMBER(H42),IF(ISERROR(VLOOKUP($A42,'liste reference'!$A$7:$P$904,4,0)),IF(ISERROR(VLOOKUP($A42,'liste reference'!$B$7:$P$904,3,0)),"",VLOOKUP($A42,'liste reference'!$B$7:$P$904,3,0)),VLOOKUP($A42,'liste reference'!$A$7:$P$904,4,0)),"")</f>
        <v>2</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Veronica anagallis-aquatica</v>
      </c>
      <c r="L42" s="499"/>
      <c r="M42" s="499"/>
      <c r="N42" s="499"/>
      <c r="O42" s="485"/>
      <c r="P42" s="486" t="n">
        <f aca="false">IF($A42="NEWCOD",IF($AC42="","No",$AC42),IF(ISTEXT($E42),"DEJA SAISI !",IF($A42="","",IF(ISERROR(VLOOKUP($A42,'liste reference'!A:S,19,FALSE())),IF(ISERROR(VLOOKUP($A42,'liste reference'!B:S,19,FALSE())),"",VLOOKUP($A42,'liste reference'!B:S,19,FALSE())),VLOOKUP($A42,'liste reference'!A:S,19,FALSE())))))</f>
        <v>1955</v>
      </c>
      <c r="Q42" s="487" t="n">
        <f aca="false">IF(ISTEXT(H42),"",(B42*$B$7/100)+(C42*$C$7/100))</f>
        <v>0.1094</v>
      </c>
      <c r="R42" s="488" t="n">
        <f aca="false">IF(OR(ISTEXT(H42),Q42=0),"",IF(Q42&lt;0.1,1,IF(Q42&lt;1,2,IF(Q42&lt;10,3,IF(Q42&lt;50,4,IF(Q42&gt;=50,5,""))))))</f>
        <v>2</v>
      </c>
      <c r="S42" s="488" t="n">
        <f aca="false">IF(ISERROR(R42*I42),0,R42*I42)</f>
        <v>22</v>
      </c>
      <c r="T42" s="488" t="n">
        <f aca="false">IF(ISERROR(R42*I42*J42),0,R42*I42*J42)</f>
        <v>44</v>
      </c>
      <c r="U42" s="500" t="n">
        <f aca="false">IF(ISERROR(R42*J42),0,R42*J42)</f>
        <v>4</v>
      </c>
      <c r="V42" s="489" t="str">
        <f aca="false">IF(AND(A42="",F42=0),"",IF(F42=0,"Il manque le(s) % de rec. !",""))</f>
        <v/>
      </c>
      <c r="W42" s="490"/>
      <c r="Y42" s="491" t="str">
        <f aca="false">IF(A42="new.cod","NEWCOD",IF(AND((Z42=""),ISTEXT(A42)),A42,IF(Z42="","",INDEX('liste reference'!$A$8:$A$904,Z42))))</f>
        <v>VERANA</v>
      </c>
      <c r="Z42" s="281" t="n">
        <f aca="false">IF(ISERROR(MATCH(A42,'liste reference'!$A$8:$A$904,0)),IF(ISERROR(MATCH(A42,'liste reference'!$B$8:$B$904,0)),"",(MATCH(A42,'liste reference'!$B$8:$B$904,0))),(MATCH(A42,'liste reference'!$A$8:$A$904,0)))</f>
        <v>682</v>
      </c>
      <c r="AA42" s="492"/>
      <c r="AB42" s="493"/>
      <c r="AC42" s="493"/>
      <c r="BB42" s="281" t="n">
        <f aca="false">IF(A42="","",1)</f>
        <v>1</v>
      </c>
    </row>
    <row r="43" customFormat="false" ht="12.75" hidden="false" customHeight="false" outlineLevel="0" collapsed="false">
      <c r="A43" s="494" t="s">
        <v>2320</v>
      </c>
      <c r="B43" s="495"/>
      <c r="C43" s="496" t="n">
        <v>0.01</v>
      </c>
      <c r="D43" s="478" t="str">
        <f aca="false">IF(ISERROR(VLOOKUP($A43,'liste reference'!$A$7:$D$904,2,0)),IF(ISERROR(VLOOKUP($A43,'liste reference'!$B$7:$D$904,1,0)),"",VLOOKUP($A43,'liste reference'!$B$7:$D$904,1,0)),VLOOKUP($A43,'liste reference'!$A$7:$D$904,2,0))</f>
        <v>Leersia oryzoïdes</v>
      </c>
      <c r="E43" s="497" t="e">
        <f aca="false">IF(D43="",0,VLOOKUP(D43,D$22:D42,1,0))</f>
        <v>#N/A</v>
      </c>
      <c r="F43" s="501" t="n">
        <f aca="false">($B43*$B$7+$C43*$C$7)/100</f>
        <v>0.0071</v>
      </c>
      <c r="G43" s="480" t="str">
        <f aca="false">IF(A43="","",IF(ISERROR(VLOOKUP($A43,'liste reference'!$A$7:$P$904,13,0)),IF(ISERROR(VLOOKUP($A43,'liste reference'!$B$7:$P$904,12,0)),"    -",VLOOKUP($A43,'liste reference'!$B$7:$P$904,12,0)),VLOOKUP($A43,'liste reference'!$A$7:$P$904,13,0)))</f>
        <v>PHg</v>
      </c>
      <c r="H43" s="481" t="n">
        <f aca="false">IF(A43="","x",IF(ISERROR(VLOOKUP($A43,'liste reference'!$A$8:$P$904,14,0)),IF(ISERROR(VLOOKUP($A43,'liste reference'!$B$8:$P$904,13,0)),"x",VLOOKUP($A43,'liste reference'!$B$8:$P$904,13,0)),VLOOKUP($A43,'liste reference'!$A$8:$P$904,14,0)))</f>
        <v>9</v>
      </c>
      <c r="I43" s="482" t="n">
        <f aca="false">IF(ISNUMBER(H43),IF(ISERROR(VLOOKUP($A43,'liste reference'!$A$7:$P$904,3,0)),IF(ISERROR(VLOOKUP($A43,'liste reference'!$B$7:$P$904,2,0)),"",VLOOKUP($A43,'liste reference'!$B$7:$P$904,2,0)),VLOOKUP($A43,'liste reference'!$A$7:$P$904,3,0)),"")</f>
        <v>0</v>
      </c>
      <c r="J43" s="482" t="n">
        <f aca="false">IF(ISNUMBER(H43),IF(ISERROR(VLOOKUP($A43,'liste reference'!$A$7:$P$904,4,0)),IF(ISERROR(VLOOKUP($A43,'liste reference'!$B$7:$P$904,3,0)),"",VLOOKUP($A43,'liste reference'!$B$7:$P$904,3,0)),VLOOKUP($A43,'liste reference'!$A$7:$P$904,4,0)),"")</f>
        <v>0</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Leersia oryzoïdes</v>
      </c>
      <c r="L43" s="502"/>
      <c r="M43" s="502"/>
      <c r="N43" s="502"/>
      <c r="O43" s="485"/>
      <c r="P43" s="503" t="n">
        <f aca="false">IF($A43="NEWCOD",IF($AC43="","No",$AC43),IF(ISTEXT($E43),"DEJA SAISI !",IF($A43="","",IF(ISERROR(VLOOKUP($A43,'liste reference'!A:S,19,FALSE())),IF(ISERROR(VLOOKUP($A43,'liste reference'!B:S,19,FALSE())),"",VLOOKUP($A43,'liste reference'!B:S,19,FALSE())),VLOOKUP($A43,'liste reference'!A:S,19,FALSE())))))</f>
        <v>1569</v>
      </c>
      <c r="Q43" s="487" t="n">
        <f aca="false">IF(ISTEXT(H43),"",(B43*$B$7/100)+(C43*$C$7/100))</f>
        <v>0.0071</v>
      </c>
      <c r="R43" s="488" t="n">
        <f aca="false">IF(OR(ISTEXT(H43),Q43=0),"",IF(Q43&lt;0.1,1,IF(Q43&lt;1,2,IF(Q43&lt;10,3,IF(Q43&lt;50,4,IF(Q43&gt;=50,5,""))))))</f>
        <v>1</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LEEORY</v>
      </c>
      <c r="Z43" s="281" t="n">
        <f aca="false">IF(ISERROR(MATCH(A43,'liste reference'!$A$8:$A$904,0)),IF(ISERROR(MATCH(A43,'liste reference'!$B$8:$B$904,0)),"",(MATCH(A43,'liste reference'!$B$8:$B$904,0))),(MATCH(A43,'liste reference'!$A$8:$A$904,0)))</f>
        <v>773</v>
      </c>
      <c r="AA43" s="492"/>
      <c r="AB43" s="493"/>
      <c r="AC43" s="493"/>
      <c r="BB43" s="281" t="n">
        <f aca="false">IF(A43="","",1)</f>
        <v>1</v>
      </c>
    </row>
    <row r="44" customFormat="false" ht="12.75" hidden="false" customHeight="false" outlineLevel="0" collapsed="false">
      <c r="A44" s="494" t="s">
        <v>2687</v>
      </c>
      <c r="B44" s="495" t="n">
        <v>0.005</v>
      </c>
      <c r="C44" s="496" t="n">
        <v>0.005</v>
      </c>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0.005</v>
      </c>
      <c r="G44" s="480" t="str">
        <f aca="false">IF(A44="","",IF(ISERROR(VLOOKUP($A44,'liste reference'!$A$7:$P$904,13,0)),IF(ISERROR(VLOOKUP($A44,'liste reference'!$B$7:$P$904,12,0)),"    -",VLOOKUP($A44,'liste reference'!$B$7:$P$904,12,0)),VLOOKUP($A44,'liste reference'!$A$7:$P$904,13,0)))</f>
        <v>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Bidens frondosa</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No</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NEWCOD</v>
      </c>
      <c r="Z44" s="281" t="str">
        <f aca="false">IF(ISERROR(MATCH(A44,'liste reference'!$A$8:$A$904,0)),IF(ISERROR(MATCH(A44,'liste reference'!$B$8:$B$904,0)),"",(MATCH(A44,'liste reference'!$B$8:$B$904,0))),(MATCH(A44,'liste reference'!$A$8:$A$904,0)))</f>
        <v/>
      </c>
      <c r="AA44" s="492"/>
      <c r="AB44" s="493" t="s">
        <v>2688</v>
      </c>
      <c r="AC44" s="493"/>
      <c r="BB44" s="281" t="n">
        <f aca="false">IF(A44="","",1)</f>
        <v>1</v>
      </c>
    </row>
    <row r="45" customFormat="false" ht="12.75" hidden="false" customHeight="false" outlineLevel="0" collapsed="false">
      <c r="A45" s="494" t="s">
        <v>2687</v>
      </c>
      <c r="B45" s="495" t="n">
        <v>0.005</v>
      </c>
      <c r="C45" s="496" t="n">
        <v>0.005</v>
      </c>
      <c r="D45" s="478" t="str">
        <f aca="false">IF(ISERROR(VLOOKUP($A45,'liste reference'!$A$7:$D$904,2,0)),IF(ISERROR(VLOOKUP($A45,'liste reference'!$B$7:$D$904,1,0)),"",VLOOKUP($A45,'liste reference'!$B$7:$D$904,1,0)),VLOOKUP($A45,'liste reference'!$A$7:$D$904,2,0))</f>
        <v/>
      </c>
      <c r="E45" s="497" t="n">
        <f aca="false">IF(D45="",0,VLOOKUP(D45,D$21:D44,1,0))</f>
        <v>0</v>
      </c>
      <c r="F45" s="501" t="n">
        <f aca="false">($B45*$B$7+$C45*$C$7)/100</f>
        <v>0.005</v>
      </c>
      <c r="G45" s="480" t="str">
        <f aca="false">IF(A45="","",IF(ISERROR(VLOOKUP($A45,'liste reference'!$A$7:$P$904,13,0)),IF(ISERROR(VLOOKUP($A45,'liste reference'!$B$7:$P$904,12,0)),"    -",VLOOKUP($A45,'liste reference'!$B$7:$P$904,12,0)),VLOOKUP($A45,'liste reference'!$A$7:$P$904,13,0)))</f>
        <v>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Paspalum distichum</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No</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X45" s="504"/>
      <c r="Y45" s="491" t="str">
        <f aca="false">IF(A45="new.cod","NEWCOD",IF(AND((Z45=""),ISTEXT(A45)),A45,IF(Z45="","",INDEX('liste reference'!$A$8:$A$904,Z45))))</f>
        <v>NEWCOD</v>
      </c>
      <c r="Z45" s="281" t="str">
        <f aca="false">IF(ISERROR(MATCH(A45,'liste reference'!$A$8:$A$904,0)),IF(ISERROR(MATCH(A45,'liste reference'!$B$8:$B$904,0)),"",(MATCH(A45,'liste reference'!$B$8:$B$904,0))),(MATCH(A45,'liste reference'!$A$8:$A$904,0)))</f>
        <v/>
      </c>
      <c r="AA45" s="492"/>
      <c r="AB45" s="493" t="s">
        <v>2689</v>
      </c>
      <c r="AC45" s="493"/>
      <c r="BB45" s="281" t="n">
        <f aca="false">IF(A45="","",1)</f>
        <v>1</v>
      </c>
    </row>
    <row r="46" customFormat="false" ht="12.75" hidden="false" customHeight="false" outlineLevel="0" collapsed="false">
      <c r="A46" s="494" t="s">
        <v>2687</v>
      </c>
      <c r="B46" s="495"/>
      <c r="C46" s="496" t="n">
        <v>0.1</v>
      </c>
      <c r="D46" s="478" t="str">
        <f aca="false">IF(ISERROR(VLOOKUP($A46,'liste reference'!$A$7:$D$904,2,0)),IF(ISERROR(VLOOKUP($A46,'liste reference'!$B$7:$D$904,1,0)),"",VLOOKUP($A46,'liste reference'!$B$7:$D$904,1,0)),VLOOKUP($A46,'liste reference'!$A$7:$D$904,2,0))</f>
        <v/>
      </c>
      <c r="E46" s="497" t="n">
        <f aca="false">IF(D46="",0,VLOOKUP(D46,D$22:D45,1,0))</f>
        <v>0</v>
      </c>
      <c r="F46" s="501" t="n">
        <f aca="false">($B46*$B$7+$C46*$C$7)/100</f>
        <v>0.071</v>
      </c>
      <c r="G46" s="480" t="str">
        <f aca="false">IF(A46="","",IF(ISERROR(VLOOKUP($A46,'liste reference'!$A$7:$P$904,13,0)),IF(ISERROR(VLOOKUP($A46,'liste reference'!$B$7:$P$904,12,0)),"    -",VLOOKUP($A46,'liste reference'!$B$7:$P$904,12,0)),VLOOKUP($A46,'liste reference'!$A$7:$P$904,13,0)))</f>
        <v>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Komvophoron sp.</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No</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X46" s="490"/>
      <c r="Y46" s="491" t="str">
        <f aca="false">IF(A46="new.cod","NEWCOD",IF(AND((Z46=""),ISTEXT(A46)),A46,IF(Z46="","",INDEX('liste reference'!$A$8:$A$904,Z46))))</f>
        <v>NEWCOD</v>
      </c>
      <c r="Z46" s="281" t="str">
        <f aca="false">IF(ISERROR(MATCH(A46,'liste reference'!$A$8:$A$904,0)),IF(ISERROR(MATCH(A46,'liste reference'!$B$8:$B$904,0)),"",(MATCH(A46,'liste reference'!$B$8:$B$904,0))),(MATCH(A46,'liste reference'!$A$8:$A$904,0)))</f>
        <v/>
      </c>
      <c r="AA46" s="492"/>
      <c r="AB46" s="493" t="s">
        <v>2690</v>
      </c>
      <c r="AC46" s="493"/>
      <c r="BB46" s="281" t="n">
        <f aca="false">IF(A46="","",1)</f>
        <v>1</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IF(D47="",0,VLOOKUP(D47,D$22:D40,1,0))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505"/>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9"/>
      <c r="M59" s="499"/>
      <c r="N59" s="499"/>
      <c r="O59" s="485"/>
      <c r="P59" s="48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X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2691</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TECH</v>
      </c>
      <c r="B84" s="530" t="str">
        <f aca="false">C3</f>
        <v>Elne</v>
      </c>
      <c r="C84" s="531" t="n">
        <f aca="false">A4</f>
        <v>41108</v>
      </c>
      <c r="D84" s="532" t="n">
        <f aca="false">IF(ISERROR(SUM($T$23:$T$82)/SUM($U$23:$U$82)),"",SUM($T$23:$T$82)/SUM($U$23:$U$82))</f>
        <v>9.48148148148148</v>
      </c>
      <c r="E84" s="533" t="n">
        <f aca="false">N13</f>
        <v>24</v>
      </c>
      <c r="F84" s="530" t="n">
        <f aca="false">N14</f>
        <v>21</v>
      </c>
      <c r="G84" s="530" t="n">
        <f aca="false">N15</f>
        <v>11</v>
      </c>
      <c r="H84" s="530" t="n">
        <f aca="false">N16</f>
        <v>5</v>
      </c>
      <c r="I84" s="530" t="n">
        <f aca="false">N17</f>
        <v>1</v>
      </c>
      <c r="J84" s="534" t="n">
        <f aca="false">N8</f>
        <v>8.14285714285714</v>
      </c>
      <c r="K84" s="532" t="n">
        <f aca="false">N9</f>
        <v>4.43241001075051</v>
      </c>
      <c r="L84" s="533" t="n">
        <f aca="false">N10</f>
        <v>0</v>
      </c>
      <c r="M84" s="533" t="n">
        <f aca="false">N11</f>
        <v>13</v>
      </c>
      <c r="N84" s="532" t="n">
        <f aca="false">O8</f>
        <v>1.14285714285714</v>
      </c>
      <c r="O84" s="532" t="n">
        <f aca="false">O9</f>
        <v>0.773717943298663</v>
      </c>
      <c r="P84" s="533" t="n">
        <f aca="false">O10</f>
        <v>0</v>
      </c>
      <c r="Q84" s="533" t="n">
        <f aca="false">O11</f>
        <v>3</v>
      </c>
      <c r="R84" s="533" t="n">
        <f aca="false">F21</f>
        <v>58.1702</v>
      </c>
      <c r="S84" s="533" t="n">
        <f aca="false">K11</f>
        <v>0</v>
      </c>
      <c r="T84" s="533" t="n">
        <f aca="false">K12</f>
        <v>8</v>
      </c>
      <c r="U84" s="533" t="n">
        <f aca="false">K13</f>
        <v>1</v>
      </c>
      <c r="V84" s="535" t="n">
        <f aca="false">K14</f>
        <v>0</v>
      </c>
      <c r="W84" s="536" t="n">
        <f aca="false">K15</f>
        <v>12</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2692</v>
      </c>
      <c r="R86" s="281"/>
      <c r="S86" s="489"/>
      <c r="T86" s="281"/>
      <c r="U86" s="281"/>
      <c r="V86" s="281"/>
    </row>
    <row r="87" customFormat="false" ht="12.75" hidden="true" customHeight="false" outlineLevel="0" collapsed="false">
      <c r="P87" s="281"/>
      <c r="Q87" s="281" t="s">
        <v>2693</v>
      </c>
      <c r="R87" s="281"/>
      <c r="S87" s="489" t="n">
        <f aca="false">VLOOKUP(MAX($S$23:$S$82),($S$23:$U$82),1,0)</f>
        <v>48</v>
      </c>
      <c r="T87" s="281"/>
      <c r="U87" s="281"/>
      <c r="V87" s="281"/>
    </row>
    <row r="88" customFormat="false" ht="12.75" hidden="true" customHeight="false" outlineLevel="0" collapsed="false">
      <c r="P88" s="281"/>
      <c r="Q88" s="281" t="s">
        <v>2694</v>
      </c>
      <c r="R88" s="281"/>
      <c r="S88" s="489" t="n">
        <f aca="false">VLOOKUP((S87),($S$23:$U$82),2,0)</f>
        <v>48</v>
      </c>
      <c r="T88" s="281"/>
      <c r="U88" s="281"/>
      <c r="V88" s="281"/>
    </row>
    <row r="89" customFormat="false" ht="12.75" hidden="true" customHeight="false" outlineLevel="0" collapsed="false">
      <c r="Q89" s="281" t="s">
        <v>2695</v>
      </c>
      <c r="R89" s="281"/>
      <c r="S89" s="489" t="n">
        <f aca="false">VLOOKUP((S87),($S$23:$U$82),3,0)</f>
        <v>4</v>
      </c>
      <c r="T89" s="281"/>
    </row>
    <row r="90" customFormat="false" ht="12.75" hidden="false" customHeight="false" outlineLevel="0" collapsed="false">
      <c r="Q90" s="281" t="s">
        <v>2696</v>
      </c>
      <c r="R90" s="281"/>
      <c r="S90" s="539" t="n">
        <f aca="false">IF(ISERROR(SUM($T$23:$T$82)/SUM($U$23:$U$82)),"",(SUM($T$23:$T$82)-S88)/(SUM($U$23:$U$82)-S89))</f>
        <v>9.28</v>
      </c>
      <c r="T90" s="281"/>
    </row>
    <row r="91" customFormat="false" ht="12.75" hidden="false" customHeight="false" outlineLevel="0" collapsed="false">
      <c r="Q91" s="488" t="s">
        <v>2697</v>
      </c>
      <c r="R91" s="488"/>
      <c r="S91" s="488" t="str">
        <f aca="false">INDEX('liste reference'!$A$8:$A$904,$T$91)</f>
        <v>RANPEN</v>
      </c>
      <c r="T91" s="281" t="n">
        <f aca="false">IF(ISERROR(MATCH($S$93,'liste reference'!$A$8:$A$904,0)),MATCH($S$93,'liste reference'!$B$8:$B$904,0),(MATCH($S$93,'liste reference'!$A$8:$A$904,0)))</f>
        <v>463</v>
      </c>
      <c r="U91" s="528"/>
    </row>
    <row r="92" customFormat="false" ht="12.75" hidden="false" customHeight="false" outlineLevel="0" collapsed="false">
      <c r="Q92" s="281" t="s">
        <v>2698</v>
      </c>
      <c r="R92" s="281"/>
      <c r="S92" s="281" t="n">
        <f aca="false">MATCH(S87,$S$23:$S$82,0)</f>
        <v>15</v>
      </c>
      <c r="T92" s="281"/>
    </row>
    <row r="93" customFormat="false" ht="12.75" hidden="false" customHeight="false" outlineLevel="0" collapsed="false">
      <c r="Q93" s="488" t="s">
        <v>2699</v>
      </c>
      <c r="R93" s="281"/>
      <c r="S93" s="488" t="str">
        <f aca="false">INDEX($A$23:$A$82,$S$92)</f>
        <v>RANPEN</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2700</v>
      </c>
      <c r="B2" s="285"/>
      <c r="C2" s="286" t="s">
        <v>2701</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2702</v>
      </c>
      <c r="B3" s="285"/>
      <c r="C3" s="284" t="s">
        <v>2703</v>
      </c>
      <c r="D3" s="295"/>
      <c r="E3" s="295"/>
      <c r="F3" s="296"/>
      <c r="G3" s="296"/>
      <c r="H3" s="297"/>
      <c r="I3" s="298"/>
      <c r="J3" s="297"/>
      <c r="K3" s="299" t="s">
        <v>2704</v>
      </c>
      <c r="L3" s="300"/>
      <c r="M3" s="301" t="s">
        <v>2705</v>
      </c>
      <c r="N3" s="302"/>
      <c r="O3" s="302"/>
      <c r="P3" s="303"/>
      <c r="Q3" s="281"/>
      <c r="R3" s="281"/>
      <c r="S3" s="281"/>
      <c r="T3" s="281"/>
      <c r="U3" s="281"/>
      <c r="V3" s="281"/>
      <c r="W3" s="293"/>
      <c r="X3" s="294"/>
    </row>
    <row r="4" customFormat="false" ht="13.5" hidden="false" customHeight="false" outlineLevel="0" collapsed="false">
      <c r="A4" s="540" t="s">
        <v>2706</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5"/>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4"/>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2"/>
      <c r="M59" s="502"/>
      <c r="N59" s="502"/>
      <c r="O59" s="485"/>
      <c r="P59" s="503"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5"/>
      <c r="P60" s="503"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2691</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2692</v>
      </c>
      <c r="R86" s="281"/>
      <c r="S86" s="489"/>
      <c r="T86" s="281"/>
      <c r="U86" s="281"/>
      <c r="V86" s="281"/>
    </row>
    <row r="87" customFormat="false" ht="12.75" hidden="true" customHeight="false" outlineLevel="0" collapsed="false">
      <c r="P87" s="281"/>
      <c r="Q87" s="281" t="s">
        <v>2693</v>
      </c>
      <c r="R87" s="281"/>
      <c r="S87" s="489" t="n">
        <f aca="false">VLOOKUP(MAX($S$23:$S$82),($S$23:$U$82),1,0)</f>
        <v>0</v>
      </c>
      <c r="T87" s="281"/>
      <c r="U87" s="281"/>
      <c r="V87" s="281"/>
    </row>
    <row r="88" customFormat="false" ht="12.75" hidden="true" customHeight="false" outlineLevel="0" collapsed="false">
      <c r="P88" s="281"/>
      <c r="Q88" s="281" t="s">
        <v>2694</v>
      </c>
      <c r="R88" s="281"/>
      <c r="S88" s="489" t="n">
        <f aca="false">VLOOKUP((S87),($S$23:$U$82),2,0)</f>
        <v>0</v>
      </c>
      <c r="T88" s="281"/>
      <c r="U88" s="281"/>
      <c r="V88" s="281"/>
    </row>
    <row r="89" customFormat="false" ht="12.75" hidden="true" customHeight="false" outlineLevel="0" collapsed="false">
      <c r="Q89" s="281" t="s">
        <v>2695</v>
      </c>
      <c r="R89" s="281"/>
      <c r="S89" s="489" t="n">
        <f aca="false">VLOOKUP((S87),($S$23:$U$82),3,0)</f>
        <v>0</v>
      </c>
      <c r="T89" s="281"/>
    </row>
    <row r="90" customFormat="false" ht="12.75" hidden="false" customHeight="false" outlineLevel="0" collapsed="false">
      <c r="Q90" s="281" t="s">
        <v>2696</v>
      </c>
      <c r="R90" s="281"/>
      <c r="S90" s="539" t="str">
        <f aca="false">IF(ISERROR(SUM($T$23:$T$82)/SUM($U$23:$U$82)),"",(SUM($T$23:$T$82)-S88)/(SUM($U$23:$U$82)-S89))</f>
        <v/>
      </c>
      <c r="T90" s="281"/>
    </row>
    <row r="91" customFormat="false" ht="12.75" hidden="false" customHeight="false" outlineLevel="0" collapsed="false">
      <c r="Q91" s="488" t="s">
        <v>2697</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2698</v>
      </c>
      <c r="R92" s="281"/>
      <c r="S92" s="281" t="n">
        <f aca="false">MATCH(S87,$S$23:$S$82,0)</f>
        <v>1</v>
      </c>
      <c r="T92" s="281"/>
    </row>
    <row r="93" customFormat="false" ht="12.75" hidden="false" customHeight="false" outlineLevel="0" collapsed="false">
      <c r="Q93" s="488" t="s">
        <v>2699</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2707</v>
      </c>
      <c r="B1" s="551"/>
      <c r="C1" s="551"/>
      <c r="D1" s="551"/>
    </row>
    <row r="2" customFormat="false" ht="15" hidden="false" customHeight="false" outlineLevel="0" collapsed="false">
      <c r="A2" s="552" t="s">
        <v>2708</v>
      </c>
      <c r="B2" s="553"/>
      <c r="C2" s="554"/>
      <c r="D2" s="554"/>
    </row>
    <row r="3" customFormat="false" ht="15.75" hidden="false" customHeight="false" outlineLevel="0" collapsed="false">
      <c r="A3" s="552" t="s">
        <v>2709</v>
      </c>
      <c r="B3" s="553"/>
      <c r="C3" s="554"/>
      <c r="D3" s="555" t="s">
        <v>2710</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2711</v>
      </c>
      <c r="G15" s="573"/>
      <c r="H15" s="574" t="s">
        <v>2712</v>
      </c>
      <c r="I15" s="573"/>
    </row>
    <row r="16" customFormat="false" ht="15" hidden="false" customHeight="false" outlineLevel="0" collapsed="false">
      <c r="A16" s="569" t="s">
        <v>1710</v>
      </c>
      <c r="B16" s="568" t="s">
        <v>1711</v>
      </c>
      <c r="C16" s="570"/>
      <c r="D16" s="571"/>
      <c r="F16" s="575" t="s">
        <v>2713</v>
      </c>
      <c r="G16" s="576"/>
      <c r="H16" s="575" t="s">
        <v>2713</v>
      </c>
      <c r="I16" s="577"/>
    </row>
    <row r="17" customFormat="false" ht="15" hidden="false" customHeight="false" outlineLevel="0" collapsed="false">
      <c r="A17" s="567" t="s">
        <v>2129</v>
      </c>
      <c r="B17" s="568" t="s">
        <v>2130</v>
      </c>
      <c r="C17" s="570"/>
      <c r="D17" s="571"/>
      <c r="F17" s="578" t="s">
        <v>2714</v>
      </c>
      <c r="G17" s="579"/>
      <c r="H17" s="578" t="s">
        <v>2714</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2715</v>
      </c>
      <c r="G19" s="579"/>
      <c r="H19" s="578" t="s">
        <v>2715</v>
      </c>
      <c r="I19" s="580"/>
    </row>
    <row r="20" customFormat="false" ht="15" hidden="false" customHeight="false" outlineLevel="0" collapsed="false">
      <c r="A20" s="569" t="s">
        <v>1716</v>
      </c>
      <c r="B20" s="568" t="s">
        <v>1717</v>
      </c>
      <c r="C20" s="570"/>
      <c r="D20" s="571"/>
      <c r="F20" s="578" t="s">
        <v>2716</v>
      </c>
      <c r="G20" s="579"/>
      <c r="H20" s="578" t="s">
        <v>2716</v>
      </c>
      <c r="I20" s="580"/>
    </row>
    <row r="21" customFormat="false" ht="15" hidden="false" customHeight="false" outlineLevel="0" collapsed="false">
      <c r="A21" s="569" t="s">
        <v>1722</v>
      </c>
      <c r="B21" s="568" t="s">
        <v>1723</v>
      </c>
      <c r="C21" s="570"/>
      <c r="D21" s="571"/>
      <c r="F21" s="578" t="s">
        <v>2717</v>
      </c>
      <c r="G21" s="579"/>
      <c r="H21" s="578" t="s">
        <v>2717</v>
      </c>
      <c r="I21" s="580"/>
    </row>
    <row r="22" customFormat="false" ht="15" hidden="false" customHeight="false" outlineLevel="0" collapsed="false">
      <c r="A22" s="567" t="s">
        <v>1728</v>
      </c>
      <c r="B22" s="568" t="s">
        <v>1729</v>
      </c>
      <c r="C22" s="570"/>
      <c r="D22" s="571"/>
      <c r="F22" s="578" t="s">
        <v>2718</v>
      </c>
      <c r="G22" s="579"/>
      <c r="H22" s="578" t="s">
        <v>2718</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2719</v>
      </c>
      <c r="G24" s="579"/>
      <c r="H24" s="578" t="s">
        <v>2719</v>
      </c>
      <c r="I24" s="580"/>
    </row>
    <row r="25" customFormat="false" ht="15" hidden="false" customHeight="false" outlineLevel="0" collapsed="false">
      <c r="A25" s="567" t="s">
        <v>2135</v>
      </c>
      <c r="B25" s="568" t="s">
        <v>2136</v>
      </c>
      <c r="C25" s="570"/>
      <c r="D25" s="571"/>
      <c r="F25" s="581" t="s">
        <v>2720</v>
      </c>
      <c r="G25" s="582"/>
      <c r="H25" s="581" t="s">
        <v>2720</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2686</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2721</v>
      </c>
    </row>
    <row r="35" customFormat="false" ht="15" hidden="false" customHeight="false" outlineLevel="0" collapsed="false">
      <c r="A35" s="567" t="s">
        <v>52</v>
      </c>
      <c r="B35" s="568" t="s">
        <v>53</v>
      </c>
      <c r="C35" s="570"/>
      <c r="D35" s="571"/>
      <c r="F35" s="585" t="s">
        <v>2722</v>
      </c>
    </row>
    <row r="36" customFormat="false" ht="15" hidden="false" customHeight="false" outlineLevel="0" collapsed="false">
      <c r="A36" s="569" t="s">
        <v>320</v>
      </c>
      <c r="B36" s="568" t="s">
        <v>321</v>
      </c>
      <c r="C36" s="570"/>
      <c r="D36" s="571"/>
      <c r="F36" s="587" t="s">
        <v>2723</v>
      </c>
    </row>
    <row r="37" customFormat="false" ht="15" hidden="false" customHeight="false" outlineLevel="0" collapsed="false">
      <c r="A37" s="567" t="s">
        <v>2144</v>
      </c>
      <c r="B37" s="568" t="s">
        <v>2145</v>
      </c>
      <c r="C37" s="570"/>
      <c r="D37" s="571"/>
      <c r="F37" s="587" t="s">
        <v>2724</v>
      </c>
    </row>
    <row r="38" customFormat="false" ht="15" hidden="false" customHeight="false" outlineLevel="0" collapsed="false">
      <c r="A38" s="567" t="s">
        <v>2147</v>
      </c>
      <c r="B38" s="568" t="s">
        <v>2148</v>
      </c>
      <c r="C38" s="570"/>
      <c r="D38" s="571"/>
      <c r="F38" s="587" t="s">
        <v>2639</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2725</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2013-02-15T10:57:29Z</dcterms:modified>
  <cp:revision>0</cp:revision>
  <dc:subject/>
  <dc:title>Feuille d'aide au calcul de l'IBMR</dc:title>
</cp:coreProperties>
</file>