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69880 TET a Sauto" sheetId="6" state="visible" r:id="rId8"/>
    <sheet name="modele" sheetId="7" state="hidden" r:id="rId9"/>
    <sheet name="liste codes réf" sheetId="8" state="hidden" r:id="rId10"/>
  </sheets>
  <definedNames>
    <definedName function="false" hidden="false" localSheetId="5" name="_xlnm.Print_Area" vbProcedure="false">'06169880 TET a Sauto'!$A$1:$O$82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'06169880 TET a Sauto'!$A$23:$J$84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<sst xmlns="http://schemas.openxmlformats.org/spreadsheetml/2006/main" count="7357" uniqueCount="2725">
  <si>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</si>
  <si>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</si>
  <si>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</si>
  <si>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</si>
  <si>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</si>
  <si>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</si>
  <si>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</si>
  <si>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</si>
  <si>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</si>
  <si>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</si>
  <si>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</si>
  <si>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</si>
  <si>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</si>
  <si>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</si>
  <si>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</si>
  <si>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</si>
  <si>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</si>
  <si>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</si>
  <si>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</si>
  <si>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</si>
  <si>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</si>
  <si>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</si>
  <si>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</si>
  <si>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</si>
  <si>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</si>
  <si>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</si>
  <si>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</si>
  <si>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</si>
  <si>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</si>
  <si>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</si>
  <si>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</si>
  <si>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</si>
  <si>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</si>
  <si>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</si>
  <si>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</si>
  <si>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</si>
  <si>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</si>
  <si>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</si>
  <si>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</si>
  <si>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</si>
  <si>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</si>
  <si>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</si>
  <si>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</si>
  <si>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</si>
  <si>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</si>
  <si>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</si>
  <si>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</si>
  <si>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</si>
  <si>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</si>
  <si>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</si>
  <si>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</si>
  <si>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</si>
  <si>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</si>
  <si>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</si>
  <si>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</si>
  <si>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</si>
  <si>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</si>
  <si>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</si>
  <si>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</si>
  <si>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</si>
  <si>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</si>
  <si>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</si>
  <si>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</si>
  <si>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</si>
  <si>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</si>
  <si>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</si>
  <si>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</si>
  <si>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</si>
  <si>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</si>
  <si>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</si>
  <si>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</si>
  <si>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</si>
  <si>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</si>
  <si>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</si>
  <si>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</si>
  <si>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</si>
  <si>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</si>
  <si>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</si>
  <si>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</si>
  <si>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</si>
  <si>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</si>
  <si>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</si>
  <si>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</si>
  <si>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</si>
  <si>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</si>
  <si>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</si>
  <si>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</si>
  <si>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</si>
  <si>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</si>
  <si>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</si>
  <si>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</si>
  <si>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</si>
  <si>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</si>
  <si>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</si>
  <si>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</si>
  <si>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</si>
  <si>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</si>
  <si>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</si>
  <si>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</si>
  <si>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</si>
  <si>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</si>
  <si>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</si>
  <si>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</si>
  <si>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</si>
  <si>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</si>
  <si>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</si>
  <si>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</si>
  <si>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</si>
  <si>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</si>
  <si>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</si>
  <si>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</si>
  <si>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</si>
  <si>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</si>
  <si>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</si>
  <si>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</si>
  <si>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</si>
  <si>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</si>
  <si>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</si>
  <si>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</si>
  <si>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</si>
  <si>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</si>
  <si>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</si>
  <si>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</si>
  <si>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</si>
  <si>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</si>
  <si>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</si>
  <si>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</si>
  <si>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</si>
  <si>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</si>
  <si>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</si>
  <si>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</si>
  <si>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</si>
  <si>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</si>
  <si>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</si>
  <si>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</si>
  <si>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</si>
  <si>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</si>
  <si>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</si>
  <si>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</si>
  <si>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</si>
  <si>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</si>
  <si>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</si>
  <si>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</si>
  <si>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</si>
  <si>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</si>
  <si>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</si>
  <si>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</si>
  <si>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</si>
  <si>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</si>
  <si>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</si>
  <si>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</si>
  <si>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</si>
  <si>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</si>
  <si>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</si>
  <si>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</si>
  <si>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</si>
  <si>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</si>
  <si>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</si>
  <si>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</si>
  <si>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</si>
  <si>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</si>
  <si>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</si>
  <si>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</si>
  <si>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</si>
  <si>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</si>
  <si>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</si>
  <si>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</si>
  <si>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</si>
  <si>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</si>
  <si>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</si>
  <si>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</si>
  <si>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</si>
  <si>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</si>
  <si>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</si>
  <si>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</si>
  <si>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</si>
  <si>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</si>
  <si>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</si>
  <si>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</si>
  <si>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</si>
  <si>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</si>
  <si>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</si>
  <si>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</si>
  <si>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</si>
  <si>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</si>
  <si>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</si>
  <si>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</si>
  <si>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</si>
  <si>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</si>
  <si>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</si>
  <si>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</si>
  <si>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</si>
  <si>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</si>
  <si>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</si>
  <si>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</si>
  <si>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</si>
  <si>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</si>
  <si>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</si>
  <si>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</si>
  <si>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</si>
  <si>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</si>
  <si>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</si>
  <si>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</si>
  <si>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</si>
  <si>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</si>
  <si>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</si>
  <si>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</si>
  <si>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</si>
  <si>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</si>
  <si>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</si>
  <si>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</si>
  <si>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</si>
  <si>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</si>
  <si>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</si>
  <si>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</si>
  <si>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</si>
  <si>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</si>
  <si>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</si>
  <si>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</si>
  <si>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</si>
  <si>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</si>
  <si>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</si>
  <si>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</si>
  <si>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</si>
  <si>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</si>
  <si>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</si>
  <si>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</si>
  <si>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</si>
  <si>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</si>
  <si>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</si>
  <si>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</si>
  <si>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</si>
  <si>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</si>
  <si>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</si>
  <si>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</si>
  <si>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</si>
  <si>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</si>
  <si>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</si>
  <si>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</si>
  <si>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</si>
  <si>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</si>
  <si>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</si>
  <si>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</si>
  <si>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</si>
  <si>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</si>
  <si>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</si>
  <si>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</si>
  <si>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</si>
  <si>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</si>
  <si>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</si>
  <si>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</si>
  <si>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</si>
  <si>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</si>
  <si>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</si>
  <si>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</si>
  <si>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</si>
  <si>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</si>
  <si>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</si>
  <si>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</si>
  <si>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</si>
  <si>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</si>
  <si>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</si>
  <si>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</si>
  <si>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</si>
  <si>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</si>
  <si>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</si>
  <si>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</si>
  <si>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</si>
  <si>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</si>
  <si>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</si>
  <si>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</si>
  <si>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</si>
  <si>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</si>
  <si>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</si>
  <si>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</si>
  <si>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</si>
  <si>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</si>
  <si>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</si>
  <si>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</si>
  <si>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</si>
  <si>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</si>
  <si>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</si>
  <si>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</si>
  <si>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</si>
  <si>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</si>
  <si>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</si>
  <si>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</si>
  <si>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</si>
  <si>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</si>
  <si>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</si>
  <si>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</si>
  <si>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</si>
  <si>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</si>
  <si>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</si>
  <si>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</si>
  <si>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</si>
  <si>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</si>
  <si>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</si>
  <si>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</si>
  <si>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</si>
  <si>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</si>
  <si>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</si>
  <si>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</si>
  <si>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</si>
  <si>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</si>
  <si>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</si>
  <si>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</si>
  <si>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</si>
  <si>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</si>
  <si>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</si>
  <si>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</si>
  <si>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</si>
  <si>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</si>
  <si>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</si>
  <si>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</si>
  <si>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</si>
  <si>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</si>
  <si>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</si>
  <si>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</si>
  <si>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</si>
  <si>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</si>
  <si>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</si>
  <si>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</si>
  <si>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</si>
  <si>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</si>
  <si>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</si>
  <si>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</si>
  <si>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</si>
  <si>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</si>
  <si>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</si>
  <si>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</si>
  <si>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</si>
  <si>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</si>
  <si>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</si>
  <si>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</si>
  <si>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</si>
  <si>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</si>
  <si>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</si>
  <si>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</si>
  <si>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</si>
  <si>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</si>
  <si>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</si>
  <si>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</si>
  <si>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</si>
  <si>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</si>
  <si>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</si>
  <si>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</si>
  <si>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</si>
  <si>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</si>
  <si>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</si>
  <si>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</si>
  <si>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</si>
  <si>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</si>
  <si>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</si>
  <si>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</si>
  <si>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</si>
  <si>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</si>
  <si>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</si>
  <si>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</si>
  <si>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</si>
  <si>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</si>
  <si>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</si>
  <si>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</si>
  <si>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</si>
  <si>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</si>
  <si>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</si>
  <si>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</si>
  <si>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</si>
  <si>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</si>
  <si>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</si>
  <si>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</si>
  <si>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</si>
  <si>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</si>
  <si>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</si>
  <si>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</si>
  <si>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</si>
  <si>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</si>
  <si>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</si>
  <si>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</si>
  <si>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</si>
  <si>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</si>
  <si>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</si>
  <si>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</si>
  <si>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</si>
  <si>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</si>
  <si>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</si>
  <si>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</si>
  <si>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</si>
  <si>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</si>
  <si>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</si>
  <si>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</si>
  <si>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</si>
  <si>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</si>
  <si>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</si>
  <si>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</si>
  <si>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</si>
  <si>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</si>
  <si>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</si>
  <si>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</si>
  <si>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</si>
  <si>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</si>
  <si>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</si>
  <si>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</si>
  <si>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</si>
  <si>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</si>
  <si>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</si>
  <si>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</si>
  <si>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</si>
  <si>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</si>
  <si>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</si>
  <si>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</si>
  <si>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</si>
  <si>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</si>
  <si>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</si>
  <si>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</si>
  <si>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</si>
  <si>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</si>
  <si>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</si>
  <si>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</si>
  <si>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</si>
  <si>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</si>
  <si>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</si>
  <si>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</si>
  <si>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</si>
  <si>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</si>
  <si>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</si>
  <si>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</si>
  <si>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</si>
  <si>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</si>
  <si>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</si>
  <si>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</si>
  <si>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</si>
  <si>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</si>
  <si>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</si>
  <si>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</si>
  <si>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</si>
  <si>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</si>
  <si>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</si>
  <si>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</si>
  <si>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</si>
  <si>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</si>
  <si>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</si>
  <si>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</si>
  <si>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</si>
  <si>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</si>
  <si>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</si>
  <si>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</si>
  <si>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</si>
  <si>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</si>
  <si>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</si>
  <si>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</si>
  <si>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</si>
  <si>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</si>
  <si>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</si>
  <si>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</si>
  <si>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</si>
  <si>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</si>
  <si>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</si>
  <si>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</si>
  <si>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</si>
  <si>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</si>
  <si>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</si>
  <si>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</si>
  <si>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</si>
  <si>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</si>
  <si>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</si>
  <si>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</si>
  <si>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</si>
  <si>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</si>
  <si>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</si>
  <si>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</si>
  <si>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</si>
  <si>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</si>
  <si>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</si>
  <si>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</si>
  <si>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</si>
  <si>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</si>
  <si>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</si>
  <si>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</si>
  <si>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</si>
  <si>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</si>
  <si>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</si>
  <si>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</si>
  <si>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</si>
  <si>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</si>
  <si>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</si>
  <si>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</si>
  <si>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</si>
  <si>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</si>
  <si>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</si>
  <si>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</si>
  <si>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</si>
  <si>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</si>
  <si>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</si>
  <si>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</si>
  <si>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</si>
  <si>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</si>
  <si>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</si>
  <si>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</si>
  <si>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</si>
  <si>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</si>
  <si>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</si>
  <si>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</si>
  <si>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</si>
  <si>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</si>
  <si>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</si>
  <si>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</si>
  <si>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</si>
  <si>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</si>
  <si>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</si>
  <si>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</si>
  <si>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</si>
  <si>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</si>
  <si>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</si>
  <si>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</si>
  <si>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</si>
  <si>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</si>
  <si>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</si>
  <si>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</si>
  <si>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</si>
  <si>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</si>
  <si>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</si>
  <si>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</si>
  <si>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</si>
  <si>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</si>
  <si>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</si>
  <si>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</si>
  <si>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</si>
  <si>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</si>
  <si>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</si>
  <si>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</si>
  <si>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</si>
  <si>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</si>
  <si>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</si>
  <si>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</si>
  <si>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</si>
  <si>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</si>
  <si>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</si>
  <si>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</si>
  <si>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</si>
  <si>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</si>
  <si>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</si>
  <si>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</si>
  <si>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</si>
  <si>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</si>
  <si>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</si>
  <si>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</si>
  <si>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</si>
  <si>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</si>
  <si>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</si>
  <si>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</si>
  <si>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</si>
  <si>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</si>
  <si>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</si>
  <si>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</si>
  <si>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</si>
  <si>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</si>
  <si>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</si>
  <si>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</si>
  <si>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</si>
  <si>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</si>
  <si>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</si>
  <si>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</si>
  <si>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</si>
  <si>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</si>
  <si>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</si>
  <si>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</si>
  <si>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</si>
  <si>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</si>
  <si>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</si>
  <si>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</si>
  <si>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</si>
  <si>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</si>
  <si>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</si>
  <si>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</si>
  <si>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</si>
  <si>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</si>
  <si>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</si>
  <si>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</si>
  <si>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</si>
  <si>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</si>
  <si>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</si>
  <si>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</si>
  <si>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</si>
  <si>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</si>
  <si>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</si>
  <si>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</si>
  <si>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</si>
  <si>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</si>
  <si>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</si>
  <si>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</si>
  <si>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</si>
  <si>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</si>
  <si>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</si>
  <si>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</si>
  <si>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</si>
  <si>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</si>
  <si>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</si>
  <si>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</si>
  <si>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</si>
  <si>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</si>
  <si>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</si>
  <si>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</si>
  <si>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</si>
  <si>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</si>
  <si>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</si>
  <si>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</si>
  <si>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</si>
  <si>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</si>
  <si>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</si>
  <si>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</si>
  <si>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</si>
  <si>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</si>
  <si>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</si>
  <si>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</si>
  <si>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</si>
  <si>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</si>
  <si>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</si>
  <si>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</si>
  <si>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</si>
  <si>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</si>
  <si>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</si>
  <si>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</si>
  <si>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</si>
  <si>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</si>
  <si>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</si>
  <si>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</si>
  <si>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</si>
  <si>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</si>
  <si>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</si>
  <si>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</si>
  <si>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</si>
  <si>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</si>
  <si>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</si>
  <si>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</si>
  <si>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</si>
  <si>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</si>
  <si>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</si>
  <si>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</si>
  <si>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</si>
  <si>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</si>
  <si>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</si>
  <si>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</si>
  <si>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</si>
  <si>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</si>
  <si>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</si>
  <si>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</si>
  <si>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</si>
  <si>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</si>
  <si>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</si>
  <si>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</si>
  <si>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</si>
  <si>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</si>
  <si>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</si>
  <si>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</si>
  <si>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</si>
  <si>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</si>
  <si>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</si>
  <si>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</si>
  <si>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</si>
  <si>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</si>
  <si>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</si>
  <si>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</si>
  <si>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</si>
  <si>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</si>
  <si>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</si>
  <si>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</si>
  <si>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</si>
  <si>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</si>
  <si>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</si>
  <si>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</si>
  <si>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</si>
  <si>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</si>
  <si>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</si>
  <si>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</si>
  <si>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</si>
  <si>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</si>
  <si>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</si>
  <si>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</si>
  <si>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</si>
  <si>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</si>
  <si>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</si>
  <si>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</si>
  <si>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</si>
  <si>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</si>
  <si>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</si>
  <si>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</si>
  <si>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</si>
  <si>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</si>
  <si>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</si>
  <si>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</si>
  <si>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</si>
  <si>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</si>
  <si>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</si>
  <si>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</si>
  <si>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</si>
  <si>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</si>
  <si>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</si>
  <si>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</si>
  <si>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</si>
  <si>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</si>
  <si>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</si>
  <si>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</si>
  <si>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</si>
  <si>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</si>
  <si>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</si>
  <si>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</si>
  <si>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</si>
  <si>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</si>
  <si>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</si>
  <si>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</si>
  <si>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</si>
  <si>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</si>
  <si>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</si>
  <si>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</si>
  <si>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</si>
  <si>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</si>
  <si>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</si>
  <si>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</si>
  <si>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</si>
  <si>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</si>
  <si>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</si>
  <si>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</si>
  <si>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</si>
  <si>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</si>
  <si>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</si>
  <si>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</si>
  <si>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</si>
  <si>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</si>
  <si>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</si>
  <si>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</si>
  <si>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</si>
  <si>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</si>
  <si>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</si>
  <si>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</si>
  <si>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</si>
  <si>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</si>
  <si>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</si>
  <si>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</si>
  <si>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</si>
  <si>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</si>
  <si>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</si>
  <si>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</si>
  <si>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</si>
  <si>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</si>
  <si>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</si>
  <si>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</si>
  <si>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</si>
  <si>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</si>
  <si>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</si>
  <si>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</si>
  <si>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</si>
  <si>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</si>
  <si>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</si>
  <si>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</si>
  <si>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</si>
  <si>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</si>
  <si>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</si>
  <si>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</si>
  <si>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</si>
  <si>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</si>
  <si>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</si>
  <si>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</si>
  <si>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</si>
  <si>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</si>
  <si>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</si>
  <si>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</si>
  <si>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</si>
  <si>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</si>
  <si>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</si>
  <si>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</si>
  <si>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</si>
  <si>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</si>
  <si>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</si>
  <si>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</si>
  <si>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</si>
  <si>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</si>
  <si>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</si>
  <si>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</si>
  <si>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</si>
  <si>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</si>
  <si>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</si>
  <si>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</si>
  <si>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</si>
  <si>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</si>
  <si>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</si>
  <si>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</si>
  <si>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</si>
  <si>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</si>
  <si>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</si>
  <si>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</si>
  <si>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</si>
  <si>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</si>
  <si>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</si>
  <si>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</si>
  <si>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</si>
  <si>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</si>
  <si>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</si>
  <si>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</si>
  <si>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</si>
  <si>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</si>
  <si>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</si>
  <si>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</si>
  <si>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</si>
  <si>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</si>
  <si>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</si>
  <si>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</si>
  <si>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</si>
  <si>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</si>
  <si>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</si>
  <si>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</si>
  <si>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</si>
  <si>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</si>
  <si>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</si>
  <si>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</si>
  <si>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</si>
  <si>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</si>
  <si>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</si>
  <si>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</si>
  <si>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</si>
  <si>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</si>
  <si>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</si>
  <si>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</si>
  <si>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</si>
  <si>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</si>
  <si>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</si>
  <si>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</si>
  <si>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</si>
  <si>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</si>
  <si>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</si>
  <si>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</si>
  <si>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</si>
  <si>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</si>
  <si>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</si>
  <si>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</si>
  <si>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</si>
  <si>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</si>
  <si>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</si>
  <si>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</si>
  <si>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</si>
  <si>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</si>
  <si>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</si>
  <si>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</si>
  <si>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</si>
  <si>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</si>
  <si>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</si>
  <si>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</si>
  <si>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</si>
  <si>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</si>
  <si>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</si>
  <si>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</si>
  <si>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</si>
  <si>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</si>
  <si>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</si>
  <si>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</si>
  <si>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</si>
  <si>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</si>
  <si>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</si>
  <si>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</si>
  <si>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</si>
  <si>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</si>
  <si>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</si>
  <si>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</si>
  <si>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</si>
  <si>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</si>
  <si>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</si>
  <si>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</si>
  <si>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</si>
  <si>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</si>
  <si>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</si>
  <si>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</si>
  <si>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</si>
  <si>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</si>
  <si>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</si>
  <si>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</si>
  <si>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</si>
  <si>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</si>
  <si>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</si>
  <si>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</si>
  <si>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</si>
  <si>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</si>
  <si>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</si>
  <si>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</si>
  <si>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</si>
  <si>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</si>
  <si>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</si>
  <si>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</si>
  <si>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</si>
  <si>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</si>
  <si>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</si>
  <si>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</si>
  <si>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</si>
  <si>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</si>
  <si>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</si>
  <si>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</si>
  <si>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</si>
  <si>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</si>
  <si>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</si>
  <si>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</si>
  <si>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</si>
  <si>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</si>
  <si>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</si>
  <si>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</si>
  <si>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</si>
  <si>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</si>
  <si>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</si>
  <si>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</si>
  <si>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</si>
  <si>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</si>
  <si>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</si>
  <si>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</si>
  <si>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</si>
  <si>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</si>
  <si>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</si>
  <si>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</si>
  <si>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</si>
  <si>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</si>
  <si>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</si>
  <si>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</si>
  <si>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</si>
  <si>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</si>
  <si>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</si>
  <si>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</si>
  <si>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</si>
  <si>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</si>
  <si>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</si>
  <si>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</si>
  <si>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</si>
  <si>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</si>
  <si>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</si>
  <si>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</si>
  <si>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</si>
  <si>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</si>
  <si>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</si>
  <si>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</si>
  <si>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</si>
  <si>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</si>
  <si>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</si>
  <si>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</si>
  <si>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</si>
  <si>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</si>
  <si>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</si>
  <si>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</si>
  <si>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</si>
  <si>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</si>
  <si>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</si>
  <si>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</si>
  <si>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</si>
  <si>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</si>
  <si>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</si>
  <si>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</si>
  <si>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</si>
  <si>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</si>
  <si>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</si>
  <si>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</si>
  <si>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</si>
  <si>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</si>
  <si>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</si>
  <si>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</si>
  <si>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</si>
  <si>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</si>
  <si>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</si>
  <si>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</si>
  <si>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</si>
  <si>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</si>
  <si>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</si>
  <si>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</si>
  <si>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</si>
  <si>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</si>
  <si>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</si>
  <si>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</si>
  <si>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</si>
  <si>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</si>
  <si>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</si>
  <si>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</si>
  <si>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</si>
  <si>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</si>
  <si>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</si>
  <si>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</si>
  <si>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</si>
  <si>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</si>
  <si>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</si>
  <si>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</si>
  <si>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</si>
  <si>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</si>
  <si>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</si>
  <si>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</si>
  <si>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</si>
  <si>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</si>
  <si>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</si>
  <si>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</si>
  <si>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</si>
  <si>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</si>
  <si>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</si>
  <si>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</si>
  <si>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</si>
  <si>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</si>
  <si>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</si>
  <si>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</si>
  <si>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</si>
  <si>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</si>
  <si>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</si>
  <si>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</si>
  <si>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</si>
  <si>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</si>
  <si>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</si>
  <si>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</si>
  <si>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</si>
  <si>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</si>
  <si>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</si>
  <si>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</si>
  <si>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</si>
  <si>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</si>
  <si>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</si>
  <si>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</si>
  <si>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</si>
  <si>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</si>
  <si>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</si>
  <si>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</si>
  <si>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</si>
  <si>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</si>
  <si>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</si>
  <si>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</si>
  <si>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</si>
  <si>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</si>
  <si>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</si>
  <si>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</si>
  <si>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</si>
  <si>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</si>
  <si>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</si>
  <si>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</si>
  <si>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</si>
  <si>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</si>
  <si>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</si>
  <si>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</si>
  <si>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</si>
  <si>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</si>
  <si>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</si>
  <si>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</si>
  <si>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</si>
  <si>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</si>
  <si>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</si>
  <si>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</si>
  <si>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</si>
  <si>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</si>
  <si>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</si>
  <si>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</si>
  <si>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</si>
  <si>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</si>
  <si>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</si>
  <si>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</si>
  <si>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</si>
  <si>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</si>
  <si>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</si>
  <si>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</si>
  <si>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</si>
  <si>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</si>
  <si>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</si>
  <si>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</si>
  <si>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</si>
  <si>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</si>
  <si>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</si>
  <si>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</si>
  <si>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</si>
  <si>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</si>
  <si>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</si>
  <si>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</si>
  <si>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</si>
  <si>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</si>
  <si>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</si>
  <si>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</si>
  <si>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</si>
  <si>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</si>
  <si>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</si>
  <si>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</si>
  <si>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</si>
  <si>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</si>
  <si>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</si>
  <si>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</si>
  <si>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</si>
  <si>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</si>
  <si>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</si>
  <si>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</si>
  <si>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</si>
  <si>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</si>
  <si>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</si>
  <si>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</si>
  <si>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</si>
  <si>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</si>
  <si>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</si>
  <si>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</si>
  <si>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</si>
  <si>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</si>
  <si>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</si>
  <si>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</si>
  <si>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</si>
  <si>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</si>
  <si>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</si>
  <si>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</si>
  <si>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</si>
  <si>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</si>
  <si>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</si>
  <si>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</si>
  <si>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</si>
  <si>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</si>
  <si>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</si>
  <si>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</si>
  <si>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</si>
  <si>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</si>
  <si>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</si>
  <si>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</si>
  <si>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</si>
  <si>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</si>
  <si>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</si>
  <si>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</si>
  <si>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</si>
  <si>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</si>
  <si>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</si>
  <si>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</si>
  <si>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</si>
  <si>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</si>
  <si>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</si>
  <si>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</si>
  <si>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</si>
  <si>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</si>
  <si>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</si>
  <si>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</si>
  <si>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</si>
  <si>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</si>
  <si>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</si>
  <si>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</si>
  <si>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</si>
  <si>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</si>
  <si>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</si>
  <si>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</si>
  <si>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</si>
  <si>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</si>
  <si>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</si>
  <si>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</si>
  <si>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</si>
  <si>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</si>
  <si>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</si>
  <si>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</si>
  <si>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</si>
  <si>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</si>
  <si>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</si>
  <si>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</si>
  <si>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</si>
  <si>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</si>
  <si>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</si>
  <si>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</si>
  <si>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</si>
  <si>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</si>
  <si>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</si>
  <si>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</si>
  <si>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</si>
  <si>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</si>
  <si>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</si>
  <si>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</si>
  <si>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</si>
  <si>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</si>
  <si>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</si>
  <si>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</si>
  <si>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</si>
  <si>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</si>
  <si>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</si>
  <si>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</si>
  <si>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</si>
  <si>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</si>
  <si>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</si>
  <si>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</si>
  <si>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</si>
  <si>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</si>
  <si>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</si>
  <si>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</si>
  <si>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</si>
  <si>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</si>
  <si>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</si>
  <si>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</si>
  <si>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</si>
  <si>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</si>
  <si>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</si>
  <si>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</si>
  <si>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</si>
  <si>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</si>
  <si>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</si>
  <si>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</si>
  <si>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</si>
  <si>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</si>
  <si>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</si>
  <si>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</si>
  <si>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</si>
  <si>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</si>
  <si>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</si>
  <si>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</si>
  <si>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</si>
  <si>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</si>
  <si>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</si>
  <si>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</si>
  <si>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</si>
  <si>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</si>
  <si>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</si>
  <si>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</si>
  <si>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</si>
  <si>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</si>
  <si>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</si>
  <si>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</si>
  <si>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</si>
  <si>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</si>
  <si>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</si>
  <si>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</si>
  <si>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</si>
  <si>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</si>
  <si>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</si>
  <si>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</si>
  <si>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</si>
  <si>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</si>
  <si>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</si>
  <si>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</si>
  <si>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</si>
  <si>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</si>
  <si>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</si>
  <si>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</si>
  <si>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</si>
  <si>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</si>
  <si>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</si>
  <si>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</si>
  <si>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</si>
  <si>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</si>
  <si>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</si>
  <si>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</si>
  <si>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</si>
  <si>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</si>
  <si>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</si>
  <si>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</si>
  <si>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</si>
  <si>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</si>
  <si>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</si>
  <si>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</si>
  <si>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</si>
  <si>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</si>
  <si>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</si>
  <si>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</si>
  <si>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</si>
  <si>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</si>
  <si>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</si>
  <si>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</si>
  <si>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</si>
  <si>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</si>
  <si>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</si>
  <si>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</si>
  <si>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</si>
  <si>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</si>
  <si>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</si>
  <si>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</si>
  <si>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</si>
  <si>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</si>
  <si>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</si>
  <si>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</si>
  <si>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</si>
  <si>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</si>
  <si>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</si>
  <si>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</si>
  <si>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</si>
  <si>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</si>
  <si>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</si>
  <si>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</si>
  <si>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</si>
  <si>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</si>
  <si>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</si>
  <si>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</si>
  <si>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</si>
  <si>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</si>
  <si>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</si>
  <si>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</si>
  <si>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</si>
  <si>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</si>
  <si>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</si>
  <si>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</si>
  <si>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</si>
  <si>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</si>
  <si>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</si>
  <si>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</si>
  <si>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</si>
  <si>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</si>
  <si>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</si>
  <si>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</si>
  <si>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</si>
  <si>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</si>
  <si>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</si>
  <si>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</si>
  <si>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</si>
  <si>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</si>
  <si>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</si>
  <si>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</si>
  <si>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</si>
  <si>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</si>
  <si>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</si>
  <si>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</si>
  <si>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</si>
  <si>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</si>
  <si>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</si>
  <si>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</si>
  <si>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</si>
  <si>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</si>
  <si>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</si>
  <si>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</si>
  <si>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</si>
  <si>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</si>
  <si>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</si>
  <si>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</si>
  <si>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</si>
  <si>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</si>
  <si>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</si>
  <si>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</si>
  <si>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</si>
  <si>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</si>
  <si>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</si>
  <si>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</si>
  <si>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</si>
  <si>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</si>
  <si>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</si>
  <si>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</si>
  <si>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</si>
  <si>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</si>
  <si>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</si>
  <si>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</si>
  <si>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</si>
  <si>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</si>
  <si>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</si>
  <si>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</si>
  <si>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</si>
  <si>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</si>
  <si>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</si>
  <si>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</si>
  <si>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</si>
  <si>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</si>
  <si>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</si>
  <si>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</si>
  <si>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</si>
  <si>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</si>
  <si>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</si>
  <si>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</si>
  <si>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</si>
  <si>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</si>
  <si>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</si>
  <si>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</si>
  <si>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</si>
  <si>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</si>
  <si>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</si>
  <si>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</si>
  <si>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</si>
  <si>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</si>
  <si>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</si>
  <si>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</si>
  <si>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</si>
  <si>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</si>
  <si>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</si>
  <si>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</si>
  <si>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</si>
  <si>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</si>
  <si>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</si>
  <si>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</si>
  <si>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</si>
  <si>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</si>
  <si>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</si>
  <si>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</si>
  <si>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</si>
  <si>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</si>
  <si>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</si>
  <si>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</si>
  <si>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</si>
  <si>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</si>
  <si>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</si>
  <si>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</si>
  <si>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</si>
  <si>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</si>
  <si>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</si>
  <si>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</si>
  <si>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</si>
  <si>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</si>
  <si>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</si>
  <si>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</si>
  <si>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</si>
  <si>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</si>
  <si>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</si>
  <si>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</si>
  <si>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</si>
  <si>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</si>
  <si>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</si>
  <si>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</si>
  <si>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</si>
  <si>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</si>
  <si>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</si>
  <si>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</si>
  <si>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</si>
  <si>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</si>
  <si>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</si>
  <si>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</si>
  <si>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</si>
  <si>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</si>
  <si>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</si>
  <si>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</si>
  <si>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</si>
  <si>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</si>
  <si>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</si>
  <si>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</si>
  <si>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</si>
  <si>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</si>
  <si>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</si>
  <si>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</si>
  <si>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</si>
  <si>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</si>
  <si>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</si>
  <si>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</si>
  <si>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</si>
  <si>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</si>
  <si>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</si>
  <si>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</si>
  <si>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</si>
  <si>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</si>
  <si>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</si>
  <si>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</si>
  <si>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</si>
  <si>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</si>
  <si>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</si>
  <si>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</si>
  <si>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</si>
  <si>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</si>
  <si>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</si>
  <si>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</si>
  <si>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</si>
  <si>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</si>
  <si>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</si>
  <si>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</si>
  <si>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</si>
  <si>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</si>
  <si>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</si>
  <si>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</si>
  <si>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</si>
  <si>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</si>
  <si>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</si>
  <si>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</si>
  <si>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</si>
  <si>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</si>
  <si>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</si>
  <si>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</si>
  <si>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</si>
  <si>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</si>
  <si>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</si>
  <si>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</si>
  <si>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</si>
  <si>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</si>
  <si>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</si>
  <si>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</si>
  <si>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</si>
  <si>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</si>
  <si>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</si>
  <si>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</si>
  <si>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</si>
  <si>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</si>
  <si>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</si>
  <si>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</si>
  <si>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</si>
  <si>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</si>
  <si>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</si>
  <si>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</si>
  <si>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</si>
  <si>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</si>
  <si>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</si>
  <si>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</si>
  <si>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</si>
  <si>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</si>
  <si>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</si>
  <si>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</si>
  <si>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</si>
  <si>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</si>
  <si>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</si>
  <si>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</si>
  <si>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</si>
  <si>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</si>
  <si>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</si>
  <si>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</si>
  <si>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</si>
  <si>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</si>
  <si>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</si>
  <si>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</si>
  <si>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</si>
  <si>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</si>
  <si>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</si>
  <si>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</si>
  <si>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</si>
  <si>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</si>
  <si>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</si>
  <si>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</si>
  <si>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</si>
  <si>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</si>
  <si>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</si>
  <si>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</si>
  <si>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</si>
  <si>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</si>
  <si>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</si>
  <si>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</si>
  <si>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</si>
  <si>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</si>
  <si>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</si>
  <si>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</si>
  <si>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</si>
  <si>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</si>
  <si>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</si>
  <si>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</si>
  <si>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</si>
  <si>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</si>
  <si>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</si>
  <si>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</si>
  <si>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</si>
  <si>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</si>
  <si>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</si>
  <si>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</si>
  <si>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</si>
  <si>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</si>
  <si>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</si>
  <si>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</si>
  <si>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</si>
  <si>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</si>
  <si>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</si>
  <si>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</si>
  <si>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</si>
  <si>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</si>
  <si>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</si>
  <si>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</si>
  <si>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</si>
  <si>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</si>
  <si>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</si>
  <si>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</si>
  <si>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</si>
  <si>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</si>
  <si>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</si>
  <si>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</si>
  <si>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</si>
  <si>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</si>
  <si>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</si>
  <si>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</si>
  <si>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</si>
  <si>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</si>
  <si>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</si>
  <si>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</si>
  <si>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</si>
  <si>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</si>
  <si>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</si>
  <si>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</si>
  <si>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</si>
  <si>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</si>
  <si>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</si>
  <si>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</si>
  <si>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</si>
  <si>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</si>
  <si>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</si>
  <si>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</si>
  <si>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</si>
  <si>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</si>
  <si>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</si>
  <si>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</si>
  <si>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</si>
  <si>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</si>
  <si>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</si>
  <si>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</si>
  <si>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</si>
  <si>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</si>
  <si>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</si>
  <si>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</si>
  <si>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</si>
  <si>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</si>
  <si>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</si>
  <si>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</si>
  <si>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</si>
  <si>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</si>
  <si>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</si>
  <si>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</si>
  <si>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</si>
  <si>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</si>
  <si>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</si>
  <si>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</si>
  <si>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</si>
  <si>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</si>
  <si>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</si>
  <si>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</si>
  <si>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</si>
  <si>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</si>
  <si>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</si>
  <si>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</si>
  <si>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</si>
  <si>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</si>
  <si>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</si>
  <si>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</si>
  <si>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</si>
  <si>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</si>
  <si>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</si>
  <si>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</si>
  <si>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</si>
  <si>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</si>
  <si>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</si>
  <si>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</si>
  <si>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</si>
  <si>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</si>
  <si>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</si>
  <si>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</si>
  <si>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</si>
  <si>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</si>
  <si>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</si>
  <si>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</si>
  <si>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</si>
  <si>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</si>
  <si>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</si>
  <si>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</si>
  <si>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</si>
  <si>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</si>
  <si>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</si>
  <si>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</si>
  <si>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</si>
  <si>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</si>
  <si>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</si>
  <si>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</si>
  <si>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</si>
  <si>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</si>
  <si>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</si>
  <si>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</si>
  <si>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</si>
  <si>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</si>
  <si>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</si>
  <si>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</si>
  <si>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</si>
  <si>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</si>
  <si>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</si>
  <si>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</si>
  <si>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</si>
  <si>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</si>
  <si>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</si>
  <si>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</si>
  <si>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</si>
  <si>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</si>
  <si>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</si>
  <si>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</si>
  <si>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</si>
  <si>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</si>
  <si>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</si>
  <si>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</si>
  <si>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</si>
  <si>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</si>
  <si>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</si>
  <si>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</si>
  <si>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</si>
  <si>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</si>
  <si>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</si>
  <si>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</si>
  <si>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</si>
  <si>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</si>
  <si>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</si>
  <si>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</si>
  <si>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</si>
  <si>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</si>
  <si>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</si>
  <si>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</si>
  <si>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</si>
  <si>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</si>
  <si>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</si>
  <si>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</si>
  <si>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</si>
  <si>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</si>
  <si>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</si>
  <si>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</si>
  <si>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</si>
  <si>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</si>
  <si>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</si>
  <si>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</si>
  <si>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</si>
  <si>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</si>
  <si>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</si>
  <si>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</si>
  <si>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</si>
  <si>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</si>
  <si>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</si>
  <si>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</si>
  <si>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</si>
  <si>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</si>
  <si>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</si>
  <si>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</si>
  <si>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</si>
  <si>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</si>
  <si>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</si>
  <si>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</si>
  <si>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</si>
  <si>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</si>
  <si>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</si>
  <si>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</si>
  <si>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</si>
  <si>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</si>
  <si>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</si>
  <si>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</si>
  <si>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</si>
  <si>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</si>
  <si>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</si>
  <si>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</si>
  <si>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</si>
  <si>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</si>
  <si>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</si>
  <si>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</si>
  <si>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</si>
  <si>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</si>
  <si>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</si>
  <si>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</si>
  <si>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</si>
  <si>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</si>
  <si>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</si>
  <si>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</si>
  <si>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</si>
  <si>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</si>
  <si>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</si>
  <si>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</si>
  <si>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</si>
  <si>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</si>
  <si>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</si>
  <si>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</si>
  <si>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</si>
  <si>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</si>
  <si>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</si>
  <si>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</si>
  <si>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</si>
  <si>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</si>
  <si>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</si>
  <si>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</si>
  <si>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</si>
  <si>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</si>
  <si>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</si>
  <si>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</si>
  <si>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</si>
  <si>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</si>
  <si>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</si>
  <si>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</si>
  <si>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</si>
  <si>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</si>
  <si>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</si>
  <si>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</si>
  <si>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</si>
  <si>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</si>
  <si>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</si>
  <si>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</si>
  <si>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</si>
  <si>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</si>
  <si>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</si>
  <si>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</si>
  <si>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</si>
  <si>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</si>
  <si>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</si>
  <si>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</si>
  <si>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</si>
  <si>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</si>
  <si>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</si>
  <si>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</si>
  <si>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</si>
  <si>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</si>
  <si>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</si>
  <si>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</si>
  <si>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</si>
  <si>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</si>
  <si>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</si>
  <si>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</si>
  <si>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</si>
  <si>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</si>
  <si>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</si>
  <si>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</si>
  <si>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</si>
  <si>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</si>
  <si>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</si>
  <si>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</si>
  <si>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</si>
  <si>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</si>
  <si>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</si>
  <si>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</si>
  <si>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</si>
  <si>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</si>
  <si>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</si>
  <si>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</si>
  <si>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</si>
  <si>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</si>
  <si>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</si>
  <si>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</si>
  <si>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</si>
  <si>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</si>
  <si>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</si>
  <si>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</si>
  <si>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</si>
  <si>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</si>
  <si>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</si>
  <si>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</si>
  <si>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</si>
  <si>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</si>
  <si>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</si>
  <si>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</si>
  <si>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</si>
  <si>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</si>
  <si>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</si>
  <si>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</si>
  <si>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</si>
  <si>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</si>
  <si>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</si>
  <si>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</si>
  <si>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</si>
  <si>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</si>
  <si>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</si>
  <si>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</si>
  <si>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</si>
  <si>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</si>
  <si>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</si>
  <si>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</si>
  <si>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</si>
  <si>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</si>
  <si>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</si>
  <si>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</si>
  <si>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</si>
  <si>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</si>
  <si>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</si>
  <si>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</si>
  <si>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</si>
  <si>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</si>
  <si>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</si>
  <si>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</si>
  <si>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</si>
  <si>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</si>
  <si>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</si>
  <si>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</si>
  <si>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</si>
  <si>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</si>
  <si>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</si>
  <si>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</si>
  <si>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</si>
  <si>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</si>
  <si>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</si>
  <si>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</si>
  <si>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</si>
  <si>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</si>
  <si>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</si>
  <si>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</si>
  <si>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</si>
  <si>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</si>
  <si>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</si>
  <si>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</si>
  <si>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</si>
  <si>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</si>
  <si>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</si>
  <si>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</si>
  <si>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</si>
  <si>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</si>
  <si>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</si>
  <si>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</si>
  <si>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</si>
  <si>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</si>
  <si>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</si>
  <si>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</si>
  <si>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</si>
  <si>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</si>
  <si>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</si>
  <si>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</si>
  <si>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</si>
  <si>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</si>
  <si>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</si>
  <si>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</si>
  <si>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</si>
  <si>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</si>
  <si>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</si>
  <si>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</si>
  <si>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</si>
  <si>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</si>
  <si>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</si>
  <si>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</si>
  <si>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</si>
  <si>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</si>
  <si>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</si>
  <si>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</si>
  <si>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</si>
  <si>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</si>
  <si>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</si>
  <si>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</si>
  <si>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</si>
  <si>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</si>
  <si>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</si>
  <si>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</si>
  <si>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</si>
  <si>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</si>
  <si>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</si>
  <si>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</si>
  <si>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</si>
  <si>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</si>
  <si>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</si>
  <si>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</si>
  <si>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</si>
  <si>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</si>
  <si>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</si>
  <si>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</si>
  <si>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</si>
  <si>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</si>
  <si>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</si>
  <si>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</si>
  <si>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</si>
  <si>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</si>
  <si>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</si>
  <si>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</si>
  <si>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</si>
  <si>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</si>
  <si>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</si>
  <si>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</si>
  <si>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</si>
  <si>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</si>
  <si>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</si>
  <si>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</si>
  <si>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</si>
  <si>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</si>
  <si>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</si>
  <si>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</si>
  <si>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</si>
  <si>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</si>
  <si>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</si>
  <si>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</si>
  <si>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</si>
  <si>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</si>
  <si>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</si>
  <si>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</si>
  <si>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</si>
  <si>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</si>
  <si>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</si>
  <si>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</si>
  <si>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</si>
  <si>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</si>
  <si>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</si>
  <si>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</si>
  <si>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</si>
  <si>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</si>
  <si>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</si>
  <si>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</si>
  <si>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</si>
  <si>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</si>
  <si>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</si>
  <si>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</si>
  <si>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</si>
  <si>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</si>
  <si>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</si>
  <si>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</si>
  <si>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</si>
  <si>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</si>
  <si>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</si>
  <si>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</si>
  <si>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</si>
  <si>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</si>
  <si>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</si>
  <si>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</si>
  <si>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</si>
  <si>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</si>
  <si>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</si>
  <si>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</si>
  <si>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</si>
  <si>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</si>
  <si>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</si>
  <si>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</si>
  <si>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</si>
  <si>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</si>
  <si>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</si>
  <si>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</si>
  <si>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</si>
  <si>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</si>
  <si>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</si>
  <si>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</si>
  <si>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</si>
  <si>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</si>
  <si>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</si>
  <si>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</si>
  <si>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</si>
  <si>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</si>
  <si>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</si>
  <si>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</si>
  <si>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</si>
  <si>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</si>
  <si>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</si>
  <si>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</si>
  <si>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</si>
  <si>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</si>
  <si>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</si>
  <si>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</si>
  <si>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</si>
  <si>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</si>
  <si>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</si>
  <si>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</si>
  <si>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</si>
  <si>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</si>
  <si>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</si>
  <si>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</si>
  <si>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</si>
  <si>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</si>
  <si>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</si>
  <si>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</si>
  <si>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</si>
  <si>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</si>
  <si>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</si>
  <si>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</si>
  <si>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</si>
  <si>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</si>
  <si>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</si>
  <si>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</si>
  <si>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</si>
  <si>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</si>
  <si>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</si>
  <si>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</si>
  <si>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</si>
  <si>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</si>
  <si>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</si>
  <si>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</si>
  <si>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</si>
  <si>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</si>
  <si>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</si>
  <si>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</si>
  <si>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</si>
  <si>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</si>
  <si>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</si>
  <si>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</si>
  <si>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</si>
  <si>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</si>
  <si>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</si>
  <si>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</si>
  <si>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</si>
  <si>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</si>
  <si>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</si>
  <si>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</si>
  <si>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</si>
  <si>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</si>
  <si>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</si>
  <si>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</si>
  <si>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</si>
  <si>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</si>
  <si>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</si>
  <si>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</si>
  <si>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</si>
  <si>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</si>
  <si>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</si>
  <si>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</si>
  <si>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</si>
  <si>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</si>
  <si>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</si>
  <si>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</si>
  <si>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</si>
  <si>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</si>
  <si>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</si>
  <si>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</si>
  <si>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</si>
  <si>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</si>
  <si>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</si>
  <si>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</si>
  <si>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</si>
  <si>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</si>
  <si>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</si>
  <si>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</si>
  <si>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</si>
  <si>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</si>
  <si>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</si>
  <si>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</si>
  <si>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</si>
  <si>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</si>
  <si>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</si>
  <si>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</si>
  <si>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</si>
  <si>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</si>
  <si>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</si>
  <si>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</si>
  <si>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</si>
  <si>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</si>
  <si>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</si>
  <si>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</si>
  <si>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</si>
  <si>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</si>
  <si>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</si>
  <si>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</si>
  <si>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</si>
  <si>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</si>
  <si>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</si>
  <si>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</si>
  <si>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</si>
  <si>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</si>
  <si>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</si>
  <si>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</si>
  <si>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</si>
  <si>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</si>
  <si>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</si>
  <si>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</si>
  <si>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</si>
  <si>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</si>
  <si>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</si>
  <si>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</si>
  <si>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</si>
  <si>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</si>
  <si>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</si>
  <si>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</si>
  <si>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</si>
  <si>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</si>
  <si>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</si>
  <si>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</si>
  <si>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</si>
  <si>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</si>
  <si>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</si>
  <si>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</si>
  <si>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</si>
  <si>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</si>
  <si>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</si>
  <si>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</si>
  <si>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</si>
  <si>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</si>
  <si>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</si>
  <si>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</si>
  <si>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</si>
  <si>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</si>
  <si>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</si>
  <si>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</si>
  <si>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</si>
  <si>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</si>
  <si>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</si>
  <si>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</si>
  <si>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</si>
  <si>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</si>
  <si>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</si>
  <si>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</si>
  <si>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</si>
  <si>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</si>
  <si>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</si>
  <si>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</si>
  <si>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</si>
  <si>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</si>
  <si>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</si>
  <si>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</si>
  <si>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</si>
  <si>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</si>
  <si>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</si>
  <si>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</si>
  <si>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</si>
  <si>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</si>
  <si>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</si>
  <si>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</si>
  <si>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</si>
  <si>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</si>
  <si>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</si>
  <si>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</si>
  <si>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</si>
  <si>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</si>
  <si>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</si>
  <si>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</si>
  <si>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</si>
  <si>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</si>
  <si>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</si>
  <si>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</si>
  <si>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</si>
  <si>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</si>
  <si>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</si>
  <si>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</si>
  <si>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</si>
  <si>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</si>
  <si>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</si>
  <si>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</si>
  <si>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</si>
  <si>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</si>
  <si>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</si>
  <si>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</si>
  <si>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</si>
  <si>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</si>
  <si>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</si>
  <si>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</si>
  <si>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</si>
  <si>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</si>
  <si>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</si>
  <si>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</si>
  <si>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</si>
  <si>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</si>
  <si>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</si>
  <si>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</si>
  <si>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</si>
  <si>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</si>
  <si>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</si>
  <si>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</si>
  <si>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</si>
  <si>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</si>
  <si>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</si>
  <si>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</si>
  <si>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</si>
  <si>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</si>
  <si>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</si>
  <si>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</si>
  <si>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</si>
  <si>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</si>
  <si>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</si>
  <si>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</si>
  <si>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</si>
  <si>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</si>
  <si>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</si>
  <si>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</si>
  <si>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</si>
  <si>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</si>
  <si>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</si>
  <si>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</si>
  <si>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</si>
  <si>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</si>
  <si>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</si>
  <si>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</si>
  <si>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</si>
  <si>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</si>
  <si>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</si>
  <si>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</si>
  <si>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</si>
  <si>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</si>
  <si>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</si>
  <si>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</si>
  <si>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</si>
  <si>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</si>
  <si>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</si>
  <si>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</si>
  <si>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</si>
  <si>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</si>
  <si>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</si>
  <si>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</si>
  <si>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</si>
  <si>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</si>
  <si>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</si>
  <si>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</si>
  <si>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</si>
  <si>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</si>
  <si>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</si>
  <si>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</si>
  <si>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</si>
  <si>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</si>
  <si>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</si>
  <si>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</si>
  <si>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</si>
  <si>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</si>
  <si>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</si>
  <si>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</si>
  <si>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</si>
  <si>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</si>
  <si>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</si>
  <si>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</si>
  <si>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</si>
  <si>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</si>
  <si>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</si>
  <si>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</si>
  <si>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</si>
  <si>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</si>
  <si>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</si>
  <si>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</si>
  <si>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</si>
  <si>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</si>
  <si>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</si>
  <si>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</si>
  <si>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</si>
  <si>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</si>
  <si>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</si>
  <si>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</si>
  <si>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</si>
  <si>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</si>
  <si>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</si>
  <si>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</si>
  <si>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</si>
  <si>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</si>
  <si>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</si>
  <si>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</si>
  <si>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</si>
  <si>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</si>
  <si>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</si>
  <si>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</si>
  <si>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</si>
  <si>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</si>
  <si>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</si>
  <si>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</si>
  <si>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</si>
  <si>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</si>
  <si>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</si>
  <si>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</si>
  <si>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</si>
  <si>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</si>
  <si>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</si>
  <si>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</si>
  <si>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</si>
  <si>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</si>
  <si>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</si>
  <si>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</si>
  <si>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</si>
  <si>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</si>
  <si>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</si>
  <si>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</si>
  <si>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</si>
  <si>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</si>
  <si>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</si>
  <si>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</si>
  <si>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</si>
  <si>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</si>
  <si>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</si>
  <si>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</si>
  <si>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</si>
  <si>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</si>
  <si>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</si>
  <si>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</si>
  <si>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</si>
  <si>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</si>
  <si>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</si>
  <si>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</si>
  <si>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</si>
  <si>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</si>
  <si>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</si>
  <si>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</si>
  <si>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</si>
  <si>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</si>
  <si>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</si>
  <si>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</si>
  <si>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</si>
  <si>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</si>
  <si>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</si>
  <si>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</si>
  <si>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</si>
  <si>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</si>
  <si>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</si>
  <si>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</si>
  <si>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</si>
  <si>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</si>
  <si>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</si>
  <si>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</si>
  <si>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</si>
  <si>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</si>
  <si>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</si>
  <si>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</si>
  <si>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</si>
  <si>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</si>
  <si>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</si>
  <si>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</si>
  <si>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</si>
  <si>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</si>
  <si>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</si>
  <si>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</si>
  <si>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</si>
  <si>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</si>
  <si>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</si>
  <si>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</si>
  <si>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</si>
  <si>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</si>
  <si>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</si>
  <si>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</si>
  <si>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</si>
  <si>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</si>
  <si>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</si>
  <si>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</si>
  <si>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</si>
  <si>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</si>
  <si>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</si>
  <si>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</si>
  <si>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</si>
  <si>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</si>
  <si>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</si>
  <si>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</si>
  <si>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</si>
  <si>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</si>
  <si>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</si>
  <si>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</si>
  <si>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</si>
  <si>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</si>
  <si>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</si>
  <si>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</si>
  <si>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</si>
  <si>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</si>
  <si>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</si>
  <si>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</si>
  <si>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</si>
  <si>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</si>
  <si>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</si>
  <si>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</si>
  <si>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</si>
  <si>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</si>
  <si>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</si>
  <si>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</si>
  <si>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</si>
  <si>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</si>
  <si>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</si>
  <si>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</si>
  <si>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</si>
  <si>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</si>
  <si>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</si>
  <si>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</si>
  <si>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</si>
  <si>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</si>
  <si>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</si>
  <si>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</si>
  <si>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</si>
  <si>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</si>
  <si>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</si>
  <si>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</si>
  <si>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</si>
  <si>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</si>
  <si>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</si>
  <si>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</si>
  <si>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</si>
  <si>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</si>
  <si>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</si>
  <si>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</si>
  <si>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</si>
  <si>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</si>
  <si>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</si>
  <si>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</si>
  <si>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</si>
  <si>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</si>
  <si>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</si>
  <si>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</si>
  <si>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</si>
  <si>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</si>
  <si>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</si>
  <si>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</si>
  <si>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</si>
  <si>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</si>
  <si>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</si>
  <si>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</si>
  <si>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</si>
  <si>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</si>
  <si>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</si>
  <si>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</si>
  <si>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</si>
  <si>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</si>
  <si>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</si>
  <si>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</si>
  <si>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</si>
  <si>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</si>
  <si>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</si>
  <si>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</si>
  <si>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</si>
  <si>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</si>
  <si>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</si>
  <si>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</si>
  <si>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</si>
  <si>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</si>
  <si>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</si>
  <si>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</si>
  <si>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</si>
  <si>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</si>
  <si>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</si>
  <si>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</si>
  <si>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</si>
  <si>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</si>
  <si>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</si>
  <si>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</si>
  <si>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</si>
  <si>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</si>
  <si>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</si>
  <si>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</si>
  <si>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</si>
  <si>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</si>
  <si>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</si>
  <si>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</si>
  <si>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</si>
  <si>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</si>
  <si>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</si>
  <si>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</si>
  <si>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</si>
  <si>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</si>
  <si>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</si>
  <si>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</si>
  <si>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</si>
  <si>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</si>
  <si>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</si>
  <si>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</si>
  <si>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</si>
  <si>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</si>
  <si>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</si>
  <si>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</si>
  <si>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</si>
  <si>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</si>
  <si>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</si>
  <si>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</si>
  <si>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</si>
  <si>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</si>
  <si>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</si>
  <si>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</si>
  <si>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</si>
  <si>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</si>
  <si>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</si>
  <si>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</si>
  <si>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</si>
  <si>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</si>
  <si>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</si>
  <si>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</si>
  <si>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</si>
  <si>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</si>
  <si>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</si>
  <si>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</si>
  <si>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</si>
  <si>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</si>
  <si>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</si>
  <si>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</si>
  <si>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</si>
  <si>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</si>
  <si>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</si>
  <si>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</si>
  <si>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</si>
  <si>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</si>
  <si>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</si>
  <si>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</si>
  <si>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</si>
  <si>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</si>
  <si>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</si>
  <si>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</si>
  <si>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</si>
  <si>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</si>
  <si>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</si>
  <si>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</si>
  <si>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</si>
  <si>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</si>
  <si>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</si>
  <si>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</si>
  <si>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</si>
  <si>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</si>
  <si>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</si>
  <si>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</si>
  <si>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</si>
  <si>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</si>
  <si>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</si>
  <si>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</si>
  <si>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</si>
  <si>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</si>
  <si>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</si>
  <si>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</si>
  <si>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</si>
  <si>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</si>
  <si>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</si>
  <si>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</si>
  <si>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</si>
  <si>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</si>
  <si>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</si>
  <si>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</si>
  <si>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</si>
  <si>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</si>
  <si>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</si>
  <si>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</si>
  <si>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</si>
  <si>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</si>
  <si>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</si>
  <si>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</si>
  <si>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</si>
  <si>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</si>
  <si>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</si>
  <si>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</si>
  <si>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</si>
  <si>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</si>
  <si>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</si>
  <si>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</si>
  <si>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</si>
  <si>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</si>
  <si>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</si>
  <si>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</si>
  <si>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</si>
  <si>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</si>
  <si>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</si>
  <si>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</si>
  <si>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</si>
  <si>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</si>
  <si>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</si>
  <si>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</si>
  <si>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</si>
  <si>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</si>
  <si>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</si>
  <si>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</si>
  <si>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</si>
  <si>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</si>
  <si>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</si>
  <si>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</si>
  <si>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</si>
  <si>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</si>
  <si>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</si>
  <si>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</si>
  <si>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</si>
  <si>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</si>
  <si>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</si>
  <si>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</si>
  <si>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</si>
  <si>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</si>
  <si>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</si>
  <si>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</si>
  <si>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</si>
  <si>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</si>
  <si>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</si>
  <si>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</si>
  <si>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</si>
  <si>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</si>
  <si>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</si>
  <si>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</si>
  <si>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</si>
  <si>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</si>
  <si>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</si>
  <si>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</si>
  <si>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</si>
  <si>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</si>
  <si>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</si>
  <si>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</si>
  <si>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</si>
  <si>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</si>
  <si>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</si>
  <si>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</si>
  <si>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</si>
  <si>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</si>
  <si>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</si>
  <si>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</si>
  <si>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</si>
  <si>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</si>
  <si>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</si>
  <si>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</si>
  <si>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</si>
  <si>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</si>
  <si>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</si>
  <si>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TET</t>
  </si>
  <si>
    <t xml:space="preserve">Sauto</t>
  </si>
  <si>
    <t xml:space="preserve">06169880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</si>
  <si>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</si>
  <si>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</si>
  <si>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</si>
  <si>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</si>
  <si>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</si>
  <si>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</si>
  <si>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</si>
  <si>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</si>
  <si>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</si>
  <si>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</si>
  <si>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</si>
  <si>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</si>
  <si>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</si>
  <si>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</si>
  <si>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</si>
  <si>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</si>
  <si>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</si>
  <si>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</si>
  <si>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</si>
  <si>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</si>
  <si>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</si>
  <si>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</si>
  <si>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</si>
  <si>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</si>
  <si>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</si>
  <si>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</si>
  <si>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</si>
  <si>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</si>
  <si>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</si>
  <si>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</si>
  <si>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</si>
  <si>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</si>
  <si>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</si>
  <si>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</si>
  <si>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</si>
  <si>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</si>
  <si>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</si>
  <si>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</si>
  <si>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</si>
  <si>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</si>
  <si>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</si>
  <si>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</si>
  <si>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</si>
  <si>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</si>
  <si>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</si>
  <si>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</si>
  <si>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</si>
  <si>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</si>
  <si>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</si>
  <si>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</si>
  <si>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(5,181 %)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</si>
  <si>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</si>
  <si>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</si>
  <si>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</si>
  <si>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</si>
  <si>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</si>
  <si>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</si>
  <si>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</si>
  <si>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</si>
  <si>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</si>
  <si>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</si>
  <si>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</si>
  <si>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</si>
  <si>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</si>
  <si>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</si>
  <si>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</si>
  <si>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</si>
  <si>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</si>
  <si>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</si>
  <si>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</si>
  <si>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</si>
  <si>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Cardamine raphanifolia</t>
  </si>
  <si>
    <t xml:space="preserve">Grimmiacae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</si>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</sst>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68"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3"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4"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4"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4"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4"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4"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5"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4"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5"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5"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5"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5"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4"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4"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3"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3" fontId="99" fillId="6" borderId="67" xfId="0" applyFont="true" applyBorder="true" applyAlignment="false" applyProtection="true">
      <alignment horizontal="general" vertical="bottom" textRotation="0" wrapText="false" indent="0" shrinkToFit="false"/>
      <protection locked="true" hidden="true"/>
    </xf>
    <xf numFmtId="173"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3"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4"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4" fontId="98" fillId="9" borderId="0" xfId="0" applyFont="true" applyBorder="true" applyAlignment="true" applyProtection="true">
      <alignment horizontal="left" vertical="bottom" textRotation="0" wrapText="false" indent="0" shrinkToFit="false"/>
      <protection locked="true" hidden="true"/>
    </xf>
    <xf numFmtId="174" fontId="20" fillId="9" borderId="0" xfId="0" applyFont="true" applyBorder="true" applyAlignment="true" applyProtection="true">
      <alignment horizontal="center" vertical="bottom" textRotation="0" wrapText="false" indent="0" shrinkToFit="false"/>
      <protection locked="true" hidden="true"/>
    </xf>
    <xf numFmtId="174"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4" fontId="100" fillId="9" borderId="93" xfId="0" applyFont="true" applyBorder="true" applyAlignment="true" applyProtection="true">
      <alignment horizontal="center" vertical="bottom" textRotation="0" wrapText="false" indent="0" shrinkToFit="false"/>
      <protection locked="true" hidden="true"/>
    </xf>
    <xf numFmtId="174" fontId="20" fillId="9" borderId="93" xfId="0" applyFont="true" applyBorder="true" applyAlignment="true" applyProtection="true">
      <alignment horizontal="center" vertical="bottom" textRotation="0" wrapText="false" indent="0" shrinkToFit="false"/>
      <protection locked="true" hidden="true"/>
    </xf>
    <xf numFmtId="174" fontId="20" fillId="9" borderId="30" xfId="0" applyFont="true" applyBorder="true" applyAlignment="true" applyProtection="true">
      <alignment horizontal="center" vertical="bottom" textRotation="0" wrapText="false" indent="0" shrinkToFit="false"/>
      <protection locked="true" hidden="true"/>
    </xf>
    <xf numFmtId="174" fontId="20" fillId="9" borderId="29" xfId="0" applyFont="true" applyBorder="true" applyAlignment="true" applyProtection="true">
      <alignment horizontal="center" vertical="bottom" textRotation="0" wrapText="false" indent="0" shrinkToFit="false"/>
      <protection locked="true" hidden="true"/>
    </xf>
    <xf numFmtId="174"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3" fontId="20" fillId="6" borderId="80" xfId="0" applyFont="true" applyBorder="true" applyAlignment="true" applyProtection="true">
      <alignment horizontal="general" vertical="bottom" textRotation="0" wrapText="false" indent="0" shrinkToFit="false"/>
      <protection locked="true" hidden="true"/>
    </xf>
    <xf numFmtId="173" fontId="20" fillId="9" borderId="96" xfId="0" applyFont="true" applyBorder="true" applyAlignment="true" applyProtection="true">
      <alignment horizontal="general" vertical="bottom" textRotation="0" wrapText="false" indent="0" shrinkToFit="false"/>
      <protection locked="true" hidden="true"/>
    </xf>
    <xf numFmtId="173"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3"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3" fontId="100" fillId="10" borderId="39" xfId="0" applyFont="true" applyBorder="true" applyAlignment="true" applyProtection="true">
      <alignment horizontal="right" vertical="bottom" textRotation="0" wrapText="false" indent="0" shrinkToFit="false"/>
      <protection locked="true" hidden="true"/>
    </xf>
    <xf numFmtId="173" fontId="0" fillId="6" borderId="73" xfId="0" applyFont="false" applyBorder="tru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73"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3"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3" fontId="20" fillId="6" borderId="38" xfId="0" applyFont="true" applyBorder="true" applyAlignment="true" applyProtection="true">
      <alignment horizontal="general" vertical="bottom" textRotation="0" wrapText="false" indent="0" shrinkToFit="false"/>
      <protection locked="true" hidden="true"/>
    </xf>
    <xf numFmtId="173"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3" fontId="0" fillId="6" borderId="74" xfId="0" applyFont="false" applyBorder="true" applyAlignment="false" applyProtection="true">
      <alignment horizontal="general" vertical="bottom" textRotation="0" wrapText="false" indent="0" shrinkToFit="false"/>
      <protection locked="true" hidden="true"/>
    </xf>
    <xf numFmtId="173"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3" fontId="100" fillId="10" borderId="39" xfId="0" applyFont="true" applyBorder="true" applyAlignment="true" applyProtection="false">
      <alignment horizontal="right" vertical="bottom" textRotation="0" wrapText="false" indent="0" shrinkToFit="false"/>
      <protection locked="true" hidden="false"/>
    </xf>
    <xf numFmtId="165" fontId="101" fillId="0" borderId="0" xfId="0" applyFont="true" applyBorder="false" applyAlignment="false" applyProtection="true">
      <alignment horizontal="general" vertical="bottom" textRotation="0" wrapText="false" indent="0" shrinkToFit="false"/>
      <protection locked="true" hidden="true"/>
    </xf>
    <xf numFmtId="173"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3"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3" fontId="20" fillId="6" borderId="56" xfId="0" applyFont="true" applyBorder="true" applyAlignment="true" applyProtection="true">
      <alignment horizontal="general" vertical="bottom" textRotation="0" wrapText="false" indent="0" shrinkToFit="false"/>
      <protection locked="true" hidden="true"/>
    </xf>
    <xf numFmtId="173" fontId="20" fillId="6" borderId="42" xfId="0" applyFont="true" applyBorder="true" applyAlignment="true" applyProtection="true">
      <alignment horizontal="general" vertical="bottom" textRotation="0" wrapText="false" indent="0" shrinkToFit="false"/>
      <protection locked="true" hidden="true"/>
    </xf>
    <xf numFmtId="173" fontId="20" fillId="9" borderId="40" xfId="0" applyFont="true" applyBorder="true" applyAlignment="true" applyProtection="true">
      <alignment horizontal="general" vertical="bottom" textRotation="0" wrapText="false" indent="0" shrinkToFit="false"/>
      <protection locked="true" hidden="true"/>
    </xf>
    <xf numFmtId="173"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3"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3"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6" borderId="32"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6"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6" fontId="26" fillId="5" borderId="56" xfId="0" applyFont="true" applyBorder="true" applyAlignment="true" applyProtection="true">
      <alignment horizontal="left" vertical="bottom" textRotation="0" wrapText="false" indent="0" shrinkToFit="false"/>
      <protection locked="false" hidden="fals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41107</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13.5</v>
      </c>
      <c r="M5" s="324"/>
      <c r="N5" s="325" t="s">
        <v>1057</v>
      </c>
      <c r="O5" s="326" t="n">
        <v>13.68</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100</v>
      </c>
      <c r="C7" s="338" t="n">
        <v>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9.6</v>
      </c>
      <c r="O8" s="355" t="n">
        <f aca="false">IF(ISERROR(AVERAGE(J23:J82)),"      -",AVERAGE(J23:J82))</f>
        <v>1.33333333333333</v>
      </c>
      <c r="P8" s="356"/>
      <c r="Q8" s="281"/>
      <c r="R8" s="281"/>
      <c r="S8" s="281"/>
      <c r="T8" s="281"/>
      <c r="U8" s="281"/>
      <c r="V8" s="281"/>
      <c r="W8" s="293"/>
      <c r="X8" s="294"/>
    </row>
    <row r="9" customFormat="false" ht="13.5" hidden="false" customHeight="false" outlineLevel="0" collapsed="false">
      <c r="A9" s="314" t="s">
        <v>2636</v>
      </c>
      <c r="B9" s="357" t="n">
        <v>5.1</v>
      </c>
      <c r="C9" s="358" t="n">
        <v>0</v>
      </c>
      <c r="D9" s="359"/>
      <c r="E9" s="359"/>
      <c r="F9" s="360" t="n">
        <f aca="false">($B9*$B$7+$C9*$C$7)/100</f>
        <v>5.1</v>
      </c>
      <c r="G9" s="361"/>
      <c r="H9" s="362"/>
      <c r="I9" s="363"/>
      <c r="J9" s="364"/>
      <c r="K9" s="344"/>
      <c r="L9" s="365"/>
      <c r="M9" s="354" t="s">
        <v>2637</v>
      </c>
      <c r="N9" s="355" t="n">
        <f aca="false">IF(ISERROR(STDEVP(I23:I82)),"     -",STDEVP(I23:I82))</f>
        <v>6.06410202200897</v>
      </c>
      <c r="O9" s="355" t="n">
        <f aca="false">IF(ISERROR(STDEVP(J23:J82)),"      -",STDEVP(J23:J82))</f>
        <v>0.942809041582064</v>
      </c>
      <c r="P9" s="356"/>
      <c r="Q9" s="281"/>
      <c r="R9" s="281"/>
      <c r="S9" s="281"/>
      <c r="T9" s="281"/>
      <c r="U9" s="281"/>
      <c r="V9" s="281"/>
      <c r="W9" s="366"/>
      <c r="X9" s="367"/>
    </row>
    <row r="10" customFormat="false" ht="13.5" hidden="false" customHeight="false" outlineLevel="0" collapsed="false">
      <c r="A10" s="368" t="s">
        <v>2638</v>
      </c>
      <c r="B10" s="369" t="s">
        <v>2639</v>
      </c>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16</v>
      </c>
      <c r="O11" s="377" t="n">
        <f aca="false">MAX(J23:J82)</f>
        <v>3</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3</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7</v>
      </c>
      <c r="L13" s="387"/>
      <c r="M13" s="398" t="s">
        <v>2649</v>
      </c>
      <c r="N13" s="399" t="n">
        <f aca="false">COUNTIF(F23:F82,"&gt;0")</f>
        <v>17</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1</v>
      </c>
      <c r="L14" s="387"/>
      <c r="M14" s="402" t="s">
        <v>2652</v>
      </c>
      <c r="N14" s="403" t="n">
        <f aca="false">COUNTIF($I$23:$I$82,"&gt;-1")</f>
        <v>15</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4</v>
      </c>
      <c r="L15" s="387"/>
      <c r="M15" s="408" t="s">
        <v>2655</v>
      </c>
      <c r="N15" s="409" t="n">
        <f aca="false">COUNTIF(J23:J82,"=1")</f>
        <v>3</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7</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1</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5.181</v>
      </c>
      <c r="C20" s="437" t="n">
        <f aca="false">SUM(C23:C82)</f>
        <v>0</v>
      </c>
      <c r="D20" s="438"/>
      <c r="E20" s="439" t="s">
        <v>2661</v>
      </c>
      <c r="F20" s="440" t="n">
        <f aca="false">($B20*$B$7+$C20*$C$7)/100</f>
        <v>5.181</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5.181</v>
      </c>
      <c r="C21" s="450" t="n">
        <f aca="false">C20*C7/100</f>
        <v>0</v>
      </c>
      <c r="D21" s="382" t="str">
        <f aca="false">IF(F21=0,"",IF((ABS(F21-F19))&gt;(0.2*F21),CONCATENATE(" rec. par taxa (",F21," %) supérieur à 20 % !"),""))</f>
        <v> rec. par taxa (5,181 %) supérieur à 20 % !</v>
      </c>
      <c r="E21" s="451" t="str">
        <f aca="false">IF(F21=0,"",IF((ABS(F21-F19))&gt;(0.2*F21),CONCATENATE("ATTENTION : écart entre rec. par grp (",F19," %) ","et",""),""))</f>
        <v>ATTENTION : écart entre rec. par grp (0 %) et</v>
      </c>
      <c r="F21" s="452" t="n">
        <f aca="false">B21+C21</f>
        <v>5.181</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142</v>
      </c>
      <c r="B23" s="476" t="n">
        <v>0.1</v>
      </c>
      <c r="C23" s="477"/>
      <c r="D23" s="478" t="str">
        <f aca="false">IF(ISERROR(VLOOKUP($A23,'liste reference'!$A$7:$D$904,2,0)),IF(ISERROR(VLOOKUP($A23,'liste reference'!$B$7:$D$904,1,0)),"",VLOOKUP($A23,'liste reference'!$B$7:$D$904,1,0)),VLOOKUP($A23,'liste reference'!$A$7:$D$904,2,0))</f>
        <v>Hildenbrandia sp.</v>
      </c>
      <c r="E23" s="478" t="e">
        <f aca="false">IF(D23="",0,VLOOKUP(D23,D$22:D22,1,0))</f>
        <v>#N/A</v>
      </c>
      <c r="F23" s="479" t="n">
        <f aca="false">($B23*$B$7+$C23*$C$7)/100</f>
        <v>0.1</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15</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Hildenbrandia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1157</v>
      </c>
      <c r="Q23" s="487" t="n">
        <f aca="false">IF(ISTEXT(H23),"",(B23*$B$7/100)+(C23*$C$7/100))</f>
        <v>0.1</v>
      </c>
      <c r="R23" s="488" t="n">
        <f aca="false">IF(OR(ISTEXT(H23),Q23=0),"",IF(Q23&lt;0.1,1,IF(Q23&lt;1,2,IF(Q23&lt;10,3,IF(Q23&lt;50,4,IF(Q23&gt;=50,5,""))))))</f>
        <v>2</v>
      </c>
      <c r="S23" s="488" t="n">
        <f aca="false">IF(ISERROR(R23*I23),0,R23*I23)</f>
        <v>30</v>
      </c>
      <c r="T23" s="488" t="n">
        <f aca="false">IF(ISERROR(R23*I23*J23),0,R23*I23*J23)</f>
        <v>60</v>
      </c>
      <c r="U23" s="488" t="n">
        <f aca="false">IF(ISERROR(R23*J23),0,R23*J23)</f>
        <v>4</v>
      </c>
      <c r="V23" s="489" t="str">
        <f aca="false">IF(AND(A23="",F23=0),"",IF(F23=0,"Il manque le(s) % de rec. !",""))</f>
        <v/>
      </c>
      <c r="W23" s="490"/>
      <c r="Y23" s="491" t="str">
        <f aca="false">IF(A23="new.cod","NEWCOD",IF(AND((Z23=""),ISTEXT(A23)),A23,IF(Z23="","",INDEX('liste reference'!$A$8:$A$904,Z23))))</f>
        <v>HILSPX</v>
      </c>
      <c r="Z23" s="281" t="n">
        <f aca="false">IF(ISERROR(MATCH(A23,'liste reference'!$A$8:$A$904,0)),IF(ISERROR(MATCH(A23,'liste reference'!$B$8:$B$904,0)),"",(MATCH(A23,'liste reference'!$B$8:$B$904,0))),(MATCH(A23,'liste reference'!$A$8:$A$904,0)))</f>
        <v>30</v>
      </c>
      <c r="AA23" s="492"/>
      <c r="AB23" s="493"/>
      <c r="AC23" s="493"/>
      <c r="BB23" s="281" t="n">
        <f aca="false">IF(A23="","",1)</f>
        <v>1</v>
      </c>
    </row>
    <row r="24" customFormat="false" ht="12.75" hidden="false" customHeight="false" outlineLevel="0" collapsed="false">
      <c r="A24" s="494" t="s">
        <v>154</v>
      </c>
      <c r="B24" s="495" t="n">
        <v>0.25</v>
      </c>
      <c r="C24" s="496"/>
      <c r="D24" s="478" t="str">
        <f aca="false">IF(ISERROR(VLOOKUP($A24,'liste reference'!$A$7:$D$904,2,0)),IF(ISERROR(VLOOKUP($A24,'liste reference'!$B$7:$D$904,1,0)),"",VLOOKUP($A24,'liste reference'!$B$7:$D$904,1,0)),VLOOKUP($A24,'liste reference'!$A$7:$D$904,2,0))</f>
        <v>Lemanea sp.</v>
      </c>
      <c r="E24" s="497" t="e">
        <f aca="false">IF(D24="",0,VLOOKUP(D24,D$22:D23,1,0))</f>
        <v>#N/A</v>
      </c>
      <c r="F24" s="498" t="n">
        <f aca="false">($B24*$B$7+$C24*$C$7)/100</f>
        <v>0.25</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15</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1159</v>
      </c>
      <c r="Q24" s="487" t="n">
        <f aca="false">IF(ISTEXT(H24),"",(B24*$B$7/100)+(C24*$C$7/100))</f>
        <v>0.25</v>
      </c>
      <c r="R24" s="488" t="n">
        <f aca="false">IF(OR(ISTEXT(H24),Q24=0),"",IF(Q24&lt;0.1,1,IF(Q24&lt;1,2,IF(Q24&lt;10,3,IF(Q24&lt;50,4,IF(Q24&gt;=50,5,""))))))</f>
        <v>2</v>
      </c>
      <c r="S24" s="488" t="n">
        <f aca="false">IF(ISERROR(R24*I24),0,R24*I24)</f>
        <v>30</v>
      </c>
      <c r="T24" s="488" t="n">
        <f aca="false">IF(ISERROR(R24*I24*J24),0,R24*I24*J24)</f>
        <v>60</v>
      </c>
      <c r="U24" s="500" t="n">
        <f aca="false">IF(ISERROR(R24*J24),0,R24*J24)</f>
        <v>4</v>
      </c>
      <c r="V24" s="489" t="str">
        <f aca="false">IF(AND(A24="",F24=0),"",IF(F24=0,"Il manque le(s) % de rec. !",""))</f>
        <v/>
      </c>
      <c r="W24" s="490"/>
      <c r="Y24" s="491" t="str">
        <f aca="false">IF(A24="new.cod","NEWCOD",IF(AND((Z24=""),ISTEXT(A24)),A24,IF(Z24="","",INDEX('liste reference'!$A$8:$A$904,Z24))))</f>
        <v>LEASPX</v>
      </c>
      <c r="Z24" s="281" t="n">
        <f aca="false">IF(ISERROR(MATCH(A24,'liste reference'!$A$8:$A$904,0)),IF(ISERROR(MATCH(A24,'liste reference'!$B$8:$B$904,0)),"",(MATCH(A24,'liste reference'!$B$8:$B$904,0))),(MATCH(A24,'liste reference'!$A$8:$A$904,0)))</f>
        <v>34</v>
      </c>
      <c r="AA24" s="492"/>
      <c r="AB24" s="493"/>
      <c r="AC24" s="493"/>
      <c r="BB24" s="281" t="n">
        <f aca="false">IF(A24="","",1)</f>
        <v>1</v>
      </c>
    </row>
    <row r="25" customFormat="false" ht="12.75" hidden="false" customHeight="false" outlineLevel="0" collapsed="false">
      <c r="A25" s="494" t="s">
        <v>228</v>
      </c>
      <c r="B25" s="495" t="n">
        <v>0.005</v>
      </c>
      <c r="C25" s="496"/>
      <c r="D25" s="478" t="str">
        <f aca="false">IF(ISERROR(VLOOKUP($A25,'liste reference'!$A$7:$D$904,2,0)),IF(ISERROR(VLOOKUP($A25,'liste reference'!$B$7:$D$904,1,0)),"",VLOOKUP($A25,'liste reference'!$B$7:$D$904,1,0)),VLOOKUP($A25,'liste reference'!$A$7:$D$904,2,0))</f>
        <v>Phormidium sp.</v>
      </c>
      <c r="E25" s="497" t="e">
        <f aca="false">IF(D25="",0,VLOOKUP(D25,D$19:D20,1,0))</f>
        <v>#N/A</v>
      </c>
      <c r="F25" s="498" t="n">
        <f aca="false">($B25*$B$7+$C25*$C$7)/100</f>
        <v>0.005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13</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6414</v>
      </c>
      <c r="Q25" s="487" t="n">
        <f aca="false">IF(ISTEXT(H25),"",(B25*$B$7/100)+(C25*$C$7/100))</f>
        <v>0.005</v>
      </c>
      <c r="R25" s="488" t="n">
        <f aca="false">IF(OR(ISTEXT(H25),Q25=0),"",IF(Q25&lt;0.1,1,IF(Q25&lt;1,2,IF(Q25&lt;10,3,IF(Q25&lt;50,4,IF(Q25&gt;=50,5,""))))))</f>
        <v>1</v>
      </c>
      <c r="S25" s="488" t="n">
        <f aca="false">IF(ISERROR(R25*I25),0,R25*I25)</f>
        <v>13</v>
      </c>
      <c r="T25" s="488" t="n">
        <f aca="false">IF(ISERROR(R25*I25*J25),0,R25*I25*J25)</f>
        <v>26</v>
      </c>
      <c r="U25" s="500" t="n">
        <f aca="false">IF(ISERROR(R25*J25),0,R25*J25)</f>
        <v>2</v>
      </c>
      <c r="V25" s="489" t="str">
        <f aca="false">IF(AND(A25="",F25=0),"",IF(F25=0,"Il manque le(s) % de rec. !",""))</f>
        <v/>
      </c>
      <c r="W25" s="490"/>
      <c r="Y25" s="491" t="str">
        <f aca="false">IF(A25="new.cod","NEWCOD",IF(AND((Z25=""),ISTEXT(A25)),A25,IF(Z25="","",INDEX('liste reference'!$A$8:$A$904,Z25))))</f>
        <v>PHOSPX</v>
      </c>
      <c r="Z25" s="281" t="n">
        <f aca="false">IF(ISERROR(MATCH(A25,'liste reference'!$A$8:$A$904,0)),IF(ISERROR(MATCH(A25,'liste reference'!$B$8:$B$904,0)),"",(MATCH(A25,'liste reference'!$B$8:$B$904,0))),(MATCH(A25,'liste reference'!$A$8:$A$904,0)))</f>
        <v>57</v>
      </c>
      <c r="AA25" s="492" t="s">
        <v>2686</v>
      </c>
      <c r="AB25" s="493"/>
      <c r="AC25" s="493"/>
      <c r="BB25" s="281" t="n">
        <f aca="false">IF(A25="","",1)</f>
        <v>1</v>
      </c>
    </row>
    <row r="26" customFormat="false" ht="12.75" hidden="false" customHeight="false" outlineLevel="0" collapsed="false">
      <c r="A26" s="494" t="s">
        <v>359</v>
      </c>
      <c r="B26" s="495" t="n">
        <v>0.005</v>
      </c>
      <c r="C26" s="496"/>
      <c r="D26" s="478" t="str">
        <f aca="false">IF(ISERROR(VLOOKUP($A26,'liste reference'!$A$7:$D$904,2,0)),IF(ISERROR(VLOOKUP($A26,'liste reference'!$B$7:$D$904,1,0)),"",VLOOKUP($A26,'liste reference'!$B$7:$D$904,1,0)),VLOOKUP($A26,'liste reference'!$A$7:$D$904,2,0))</f>
        <v>Chiloscyphus polyanthos var. polyanthos</v>
      </c>
      <c r="E26" s="497" t="e">
        <f aca="false">IF(D26="",0,VLOOKUP(D26,D$22:D25,1,0))</f>
        <v>#N/A</v>
      </c>
      <c r="F26" s="498" t="n">
        <f aca="false">($B26*$B$7+$C26*$C$7)/100</f>
        <v>0.005</v>
      </c>
      <c r="G26" s="480" t="str">
        <f aca="false">IF(A26="","",IF(ISERROR(VLOOKUP($A26,'liste reference'!$A$7:$P$904,13,0)),IF(ISERROR(VLOOKUP($A26,'liste reference'!$B$7:$P$904,12,0)),"    -",VLOOKUP($A26,'liste reference'!$B$7:$P$904,12,0)),VLOOKUP($A26,'liste reference'!$A$7:$P$904,13,0)))</f>
        <v>BRh</v>
      </c>
      <c r="H26" s="481" t="n">
        <f aca="false">IF(A26="","x",IF(ISERROR(VLOOKUP($A26,'liste reference'!$A$8:$P$904,14,0)),IF(ISERROR(VLOOKUP($A26,'liste reference'!$B$8:$P$904,13,0)),"x",VLOOKUP($A26,'liste reference'!$B$8:$P$904,13,0)),VLOOKUP($A26,'liste reference'!$A$8:$P$904,14,0)))</f>
        <v>4</v>
      </c>
      <c r="I26" s="482" t="n">
        <f aca="false">IF(ISNUMBER(H26),IF(ISERROR(VLOOKUP($A26,'liste reference'!$A$7:$P$904,3,0)),IF(ISERROR(VLOOKUP($A26,'liste reference'!$B$7:$P$904,2,0)),"",VLOOKUP($A26,'liste reference'!$B$7:$P$904,2,0)),VLOOKUP($A26,'liste reference'!$A$7:$P$904,3,0)),"")</f>
        <v>15</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Chiloscyphus polyanthos var. polyanthos</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1186</v>
      </c>
      <c r="Q26" s="487" t="n">
        <f aca="false">IF(ISTEXT(H26),"",(B26*$B$7/100)+(C26*$C$7/100))</f>
        <v>0.005</v>
      </c>
      <c r="R26" s="488" t="n">
        <f aca="false">IF(OR(ISTEXT(H26),Q26=0),"",IF(Q26&lt;0.1,1,IF(Q26&lt;1,2,IF(Q26&lt;10,3,IF(Q26&lt;50,4,IF(Q26&gt;=50,5,""))))))</f>
        <v>1</v>
      </c>
      <c r="S26" s="488" t="n">
        <f aca="false">IF(ISERROR(R26*I26),0,R26*I26)</f>
        <v>15</v>
      </c>
      <c r="T26" s="488" t="n">
        <f aca="false">IF(ISERROR(R26*I26*J26),0,R26*I26*J26)</f>
        <v>30</v>
      </c>
      <c r="U26" s="500" t="n">
        <f aca="false">IF(ISERROR(R26*J26),0,R26*J26)</f>
        <v>2</v>
      </c>
      <c r="V26" s="489" t="str">
        <f aca="false">IF(AND(A26="",F26=0),"",IF(F26=0,"Il manque le(s) % de rec. !",""))</f>
        <v/>
      </c>
      <c r="W26" s="490"/>
      <c r="Y26" s="491" t="str">
        <f aca="false">IF(A26="new.cod","NEWCOD",IF(AND((Z26=""),ISTEXT(A26)),A26,IF(Z26="","",INDEX('liste reference'!$A$8:$A$904,Z26))))</f>
        <v>CHIPOL</v>
      </c>
      <c r="Z26" s="281" t="n">
        <f aca="false">IF(ISERROR(MATCH(A26,'liste reference'!$A$8:$A$904,0)),IF(ISERROR(MATCH(A26,'liste reference'!$B$8:$B$904,0)),"",(MATCH(A26,'liste reference'!$B$8:$B$904,0))),(MATCH(A26,'liste reference'!$A$8:$A$904,0)))</f>
        <v>97</v>
      </c>
      <c r="AA26" s="492"/>
      <c r="AB26" s="493"/>
      <c r="AC26" s="493"/>
      <c r="BB26" s="281" t="n">
        <f aca="false">IF(A26="","",1)</f>
        <v>1</v>
      </c>
    </row>
    <row r="27" customFormat="false" ht="12.75" hidden="false" customHeight="false" outlineLevel="0" collapsed="false">
      <c r="A27" s="494" t="s">
        <v>640</v>
      </c>
      <c r="B27" s="495" t="n">
        <v>0.2</v>
      </c>
      <c r="C27" s="496"/>
      <c r="D27" s="478" t="str">
        <f aca="false">IF(ISERROR(VLOOKUP($A27,'liste reference'!$A$7:$D$904,2,0)),IF(ISERROR(VLOOKUP($A27,'liste reference'!$B$7:$D$904,1,0)),"",VLOOKUP($A27,'liste reference'!$B$7:$D$904,1,0)),VLOOKUP($A27,'liste reference'!$A$7:$D$904,2,0))</f>
        <v>Amblystegium fluviatile</v>
      </c>
      <c r="E27" s="497" t="e">
        <f aca="false">IF(D27="",0,VLOOKUP(D27,D$15:D26,1,0))</f>
        <v>#N/A</v>
      </c>
      <c r="F27" s="498" t="n">
        <f aca="false">($B27*$B$7+$C27*$C$7)/100</f>
        <v>0.2</v>
      </c>
      <c r="G27" s="480" t="str">
        <f aca="false">IF(A27="","",IF(ISERROR(VLOOKUP($A27,'liste reference'!$A$7:$P$904,13,0)),IF(ISERROR(VLOOKUP($A27,'liste reference'!$B$7:$P$904,12,0)),"    -",VLOOKUP($A27,'liste reference'!$B$7:$P$904,12,0)),VLOOKUP($A27,'liste reference'!$A$7:$P$904,13,0)))</f>
        <v>BRm</v>
      </c>
      <c r="H27" s="481" t="n">
        <f aca="false">IF(A27="","x",IF(ISERROR(VLOOKUP($A27,'liste reference'!$A$8:$P$904,14,0)),IF(ISERROR(VLOOKUP($A27,'liste reference'!$B$8:$P$904,13,0)),"x",VLOOKUP($A27,'liste reference'!$B$8:$P$904,13,0)),VLOOKUP($A27,'liste reference'!$A$8:$P$904,14,0)))</f>
        <v>5</v>
      </c>
      <c r="I27" s="482" t="n">
        <f aca="false">IF(ISNUMBER(H27),IF(ISERROR(VLOOKUP($A27,'liste reference'!$A$7:$P$904,3,0)),IF(ISERROR(VLOOKUP($A27,'liste reference'!$B$7:$P$904,2,0)),"",VLOOKUP($A27,'liste reference'!$B$7:$P$904,2,0)),VLOOKUP($A27,'liste reference'!$A$7:$P$904,3,0)),"")</f>
        <v>11</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fluviatile</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1223</v>
      </c>
      <c r="Q27" s="487" t="n">
        <f aca="false">IF(ISTEXT(H27),"",(B27*$B$7/100)+(C27*$C$7/100))</f>
        <v>0.2</v>
      </c>
      <c r="R27" s="488" t="n">
        <f aca="false">IF(OR(ISTEXT(H27),Q27=0),"",IF(Q27&lt;0.1,1,IF(Q27&lt;1,2,IF(Q27&lt;10,3,IF(Q27&lt;50,4,IF(Q27&gt;=50,5,""))))))</f>
        <v>2</v>
      </c>
      <c r="S27" s="488" t="n">
        <f aca="false">IF(ISERROR(R27*I27),0,R27*I27)</f>
        <v>22</v>
      </c>
      <c r="T27" s="488" t="n">
        <f aca="false">IF(ISERROR(R27*I27*J27),0,R27*I27*J27)</f>
        <v>44</v>
      </c>
      <c r="U27" s="500" t="n">
        <f aca="false">IF(ISERROR(R27*J27),0,R27*J27)</f>
        <v>4</v>
      </c>
      <c r="V27" s="489" t="str">
        <f aca="false">IF(AND(A27="",F27=0),"",IF(F27=0,"Il manque le(s) % de rec. !",""))</f>
        <v/>
      </c>
      <c r="W27" s="490"/>
      <c r="Y27" s="491" t="str">
        <f aca="false">IF(A27="new.cod","NEWCOD",IF(AND((Z27=""),ISTEXT(A27)),A27,IF(Z27="","",INDEX('liste reference'!$A$8:$A$904,Z27))))</f>
        <v>AMBFLU</v>
      </c>
      <c r="Z27" s="281" t="n">
        <f aca="false">IF(ISERROR(MATCH(A27,'liste reference'!$A$8:$A$904,0)),IF(ISERROR(MATCH(A27,'liste reference'!$B$8:$B$904,0)),"",(MATCH(A27,'liste reference'!$B$8:$B$904,0))),(MATCH(A27,'liste reference'!$A$8:$A$904,0)))</f>
        <v>147</v>
      </c>
      <c r="AA27" s="492"/>
      <c r="AB27" s="493"/>
      <c r="AC27" s="493"/>
      <c r="BB27" s="281" t="n">
        <f aca="false">IF(A27="","",1)</f>
        <v>1</v>
      </c>
    </row>
    <row r="28" customFormat="false" ht="12.75" hidden="false" customHeight="false" outlineLevel="0" collapsed="false">
      <c r="A28" s="494" t="s">
        <v>853</v>
      </c>
      <c r="B28" s="495" t="n">
        <v>0.001</v>
      </c>
      <c r="C28" s="496"/>
      <c r="D28" s="478" t="str">
        <f aca="false">IF(ISERROR(VLOOKUP($A28,'liste reference'!$A$7:$D$904,2,0)),IF(ISERROR(VLOOKUP($A28,'liste reference'!$B$7:$D$904,1,0)),"",VLOOKUP($A28,'liste reference'!$B$7:$D$904,1,0)),VLOOKUP($A28,'liste reference'!$A$7:$D$904,2,0))</f>
        <v>Fissidens crassipes</v>
      </c>
      <c r="E28" s="497" t="e">
        <f aca="false">IF(D28="",0,VLOOKUP(D28,D$22:D27,1,0))</f>
        <v>#N/A</v>
      </c>
      <c r="F28" s="498" t="n">
        <f aca="false">($B28*$B$7+$C28*$C$7)/100</f>
        <v>0.001</v>
      </c>
      <c r="G28" s="480" t="str">
        <f aca="false">IF(A28="","",IF(ISERROR(VLOOKUP($A28,'liste reference'!$A$7:$P$904,13,0)),IF(ISERROR(VLOOKUP($A28,'liste reference'!$B$7:$P$904,12,0)),"    -",VLOOKUP($A28,'liste reference'!$B$7:$P$904,12,0)),VLOOKUP($A28,'liste reference'!$A$7:$P$904,13,0)))</f>
        <v>BRm</v>
      </c>
      <c r="H28" s="481" t="n">
        <f aca="false">IF(A28="","x",IF(ISERROR(VLOOKUP($A28,'liste reference'!$A$8:$P$904,14,0)),IF(ISERROR(VLOOKUP($A28,'liste reference'!$B$8:$P$904,13,0)),"x",VLOOKUP($A28,'liste reference'!$B$8:$P$904,13,0)),VLOOKUP($A28,'liste reference'!$A$8:$P$904,14,0)))</f>
        <v>5</v>
      </c>
      <c r="I28" s="482" t="n">
        <f aca="false">IF(ISNUMBER(H28),IF(ISERROR(VLOOKUP($A28,'liste reference'!$A$7:$P$904,3,0)),IF(ISERROR(VLOOKUP($A28,'liste reference'!$B$7:$P$904,2,0)),"",VLOOKUP($A28,'liste reference'!$B$7:$P$904,2,0)),VLOOKUP($A28,'liste reference'!$A$7:$P$904,3,0)),"")</f>
        <v>12</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1294</v>
      </c>
      <c r="Q28" s="487" t="n">
        <f aca="false">IF(ISTEXT(H28),"",(B28*$B$7/100)+(C28*$C$7/100))</f>
        <v>0.001</v>
      </c>
      <c r="R28" s="488" t="n">
        <f aca="false">IF(OR(ISTEXT(H28),Q28=0),"",IF(Q28&lt;0.1,1,IF(Q28&lt;1,2,IF(Q28&lt;10,3,IF(Q28&lt;50,4,IF(Q28&gt;=50,5,""))))))</f>
        <v>1</v>
      </c>
      <c r="S28" s="488" t="n">
        <f aca="false">IF(ISERROR(R28*I28),0,R28*I28)</f>
        <v>12</v>
      </c>
      <c r="T28" s="488" t="n">
        <f aca="false">IF(ISERROR(R28*I28*J28),0,R28*I28*J28)</f>
        <v>24</v>
      </c>
      <c r="U28" s="500" t="n">
        <f aca="false">IF(ISERROR(R28*J28),0,R28*J28)</f>
        <v>2</v>
      </c>
      <c r="V28" s="489" t="str">
        <f aca="false">IF(AND(A28="",F28=0),"",IF(F28=0,"Il manque le(s) % de rec. !",""))</f>
        <v/>
      </c>
      <c r="W28" s="490"/>
      <c r="Y28" s="491" t="str">
        <f aca="false">IF(A28="new.cod","NEWCOD",IF(AND((Z28=""),ISTEXT(A28)),A28,IF(Z28="","",INDEX('liste reference'!$A$8:$A$904,Z28))))</f>
        <v>FISCRA</v>
      </c>
      <c r="Z28" s="281" t="n">
        <f aca="false">IF(ISERROR(MATCH(A28,'liste reference'!$A$8:$A$904,0)),IF(ISERROR(MATCH(A28,'liste reference'!$B$8:$B$904,0)),"",(MATCH(A28,'liste reference'!$B$8:$B$904,0))),(MATCH(A28,'liste reference'!$A$8:$A$904,0)))</f>
        <v>197</v>
      </c>
      <c r="AA28" s="492" t="s">
        <v>2686</v>
      </c>
      <c r="AB28" s="493"/>
      <c r="AC28" s="493"/>
      <c r="BB28" s="281" t="n">
        <f aca="false">IF(A28="","",1)</f>
        <v>1</v>
      </c>
    </row>
    <row r="29" customFormat="false" ht="12.75" hidden="false" customHeight="false" outlineLevel="0" collapsed="false">
      <c r="A29" s="494" t="s">
        <v>899</v>
      </c>
      <c r="B29" s="495" t="n">
        <v>0.02</v>
      </c>
      <c r="C29" s="496"/>
      <c r="D29" s="478" t="str">
        <f aca="false">IF(ISERROR(VLOOKUP($A29,'liste reference'!$A$7:$D$904,2,0)),IF(ISERROR(VLOOKUP($A29,'liste reference'!$B$7:$D$904,1,0)),"",VLOOKUP($A29,'liste reference'!$B$7:$D$904,1,0)),VLOOKUP($A29,'liste reference'!$A$7:$D$904,2,0))</f>
        <v>Fontinalis antipyretica</v>
      </c>
      <c r="E29" s="497" t="e">
        <f aca="false">IF(D29="",0,VLOOKUP(D29,D$22:D28,1,0))</f>
        <v>#N/A</v>
      </c>
      <c r="F29" s="498" t="n">
        <f aca="false">($B29*$B$7+$C29*$C$7)/100</f>
        <v>0.02</v>
      </c>
      <c r="G29" s="480" t="str">
        <f aca="false">IF(A29="","",IF(ISERROR(VLOOKUP($A29,'liste reference'!$A$7:$P$904,13,0)),IF(ISERROR(VLOOKUP($A29,'liste reference'!$B$7:$P$904,12,0)),"    -",VLOOKUP($A29,'liste reference'!$B$7:$P$904,12,0)),VLOOKUP($A29,'liste reference'!$A$7:$P$904,13,0)))</f>
        <v>BRm</v>
      </c>
      <c r="H29" s="481" t="n">
        <f aca="false">IF(A29="","x",IF(ISERROR(VLOOKUP($A29,'liste reference'!$A$8:$P$904,14,0)),IF(ISERROR(VLOOKUP($A29,'liste reference'!$B$8:$P$904,13,0)),"x",VLOOKUP($A29,'liste reference'!$B$8:$P$904,13,0)),VLOOKUP($A29,'liste reference'!$A$8:$P$904,14,0)))</f>
        <v>5</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antipyretica</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1310</v>
      </c>
      <c r="Q29" s="487" t="n">
        <f aca="false">IF(ISTEXT(H29),"",(B29*$B$7/100)+(C29*$C$7/100))</f>
        <v>0.02</v>
      </c>
      <c r="R29" s="488" t="n">
        <f aca="false">IF(OR(ISTEXT(H29),Q29=0),"",IF(Q29&lt;0.1,1,IF(Q29&lt;1,2,IF(Q29&lt;10,3,IF(Q29&lt;50,4,IF(Q29&gt;=50,5,""))))))</f>
        <v>1</v>
      </c>
      <c r="S29" s="488" t="n">
        <f aca="false">IF(ISERROR(R29*I29),0,R29*I29)</f>
        <v>10</v>
      </c>
      <c r="T29" s="488" t="n">
        <f aca="false">IF(ISERROR(R29*I29*J29),0,R29*I29*J29)</f>
        <v>10</v>
      </c>
      <c r="U29" s="500" t="n">
        <f aca="false">IF(ISERROR(R29*J29),0,R29*J29)</f>
        <v>1</v>
      </c>
      <c r="V29" s="489" t="str">
        <f aca="false">IF(AND(A29="",F29=0),"",IF(F29=0,"Il manque le(s) % de rec. !",""))</f>
        <v/>
      </c>
      <c r="W29" s="490"/>
      <c r="Y29" s="491" t="str">
        <f aca="false">IF(A29="new.cod","NEWCOD",IF(AND((Z29=""),ISTEXT(A29)),A29,IF(Z29="","",INDEX('liste reference'!$A$8:$A$904,Z29))))</f>
        <v>FONANT</v>
      </c>
      <c r="Z29" s="281" t="n">
        <f aca="false">IF(ISERROR(MATCH(A29,'liste reference'!$A$8:$A$904,0)),IF(ISERROR(MATCH(A29,'liste reference'!$B$8:$B$904,0)),"",(MATCH(A29,'liste reference'!$B$8:$B$904,0))),(MATCH(A29,'liste reference'!$A$8:$A$904,0)))</f>
        <v>210</v>
      </c>
      <c r="AA29" s="492"/>
      <c r="AB29" s="493"/>
      <c r="AC29" s="493"/>
      <c r="BB29" s="281" t="n">
        <f aca="false">IF(A29="","",1)</f>
        <v>1</v>
      </c>
    </row>
    <row r="30" customFormat="false" ht="12.75" hidden="false" customHeight="false" outlineLevel="0" collapsed="false">
      <c r="A30" s="494" t="s">
        <v>919</v>
      </c>
      <c r="B30" s="495" t="n">
        <v>0.05</v>
      </c>
      <c r="C30" s="496"/>
      <c r="D30" s="478" t="str">
        <f aca="false">IF(ISERROR(VLOOKUP($A30,'liste reference'!$A$7:$D$904,2,0)),IF(ISERROR(VLOOKUP($A30,'liste reference'!$B$7:$D$904,1,0)),"",VLOOKUP($A30,'liste reference'!$B$7:$D$904,1,0)),VLOOKUP($A30,'liste reference'!$A$7:$D$904,2,0))</f>
        <v>Fontinalis squamosa</v>
      </c>
      <c r="E30" s="497" t="e">
        <f aca="false">IF(D30="",0,VLOOKUP(D30,D$22:D29,1,0))</f>
        <v>#N/A</v>
      </c>
      <c r="F30" s="498" t="n">
        <f aca="false">($B30*$B$7+$C30*$C$7)/100</f>
        <v>0.05</v>
      </c>
      <c r="G30" s="480" t="str">
        <f aca="false">IF(A30="","",IF(ISERROR(VLOOKUP($A30,'liste reference'!$A$7:$P$904,13,0)),IF(ISERROR(VLOOKUP($A30,'liste reference'!$B$7:$P$904,12,0)),"    -",VLOOKUP($A30,'liste reference'!$B$7:$P$904,12,0)),VLOOKUP($A30,'liste reference'!$A$7:$P$904,13,0)))</f>
        <v>BRm</v>
      </c>
      <c r="H30" s="481" t="n">
        <f aca="false">IF(A30="","x",IF(ISERROR(VLOOKUP($A30,'liste reference'!$A$8:$P$904,14,0)),IF(ISERROR(VLOOKUP($A30,'liste reference'!$B$8:$P$904,13,0)),"x",VLOOKUP($A30,'liste reference'!$B$8:$P$904,13,0)),VLOOKUP($A30,'liste reference'!$A$8:$P$904,14,0)))</f>
        <v>5</v>
      </c>
      <c r="I30" s="482" t="n">
        <f aca="false">IF(ISNUMBER(H30),IF(ISERROR(VLOOKUP($A30,'liste reference'!$A$7:$P$904,3,0)),IF(ISERROR(VLOOKUP($A30,'liste reference'!$B$7:$P$904,2,0)),"",VLOOKUP($A30,'liste reference'!$B$7:$P$904,2,0)),VLOOKUP($A30,'liste reference'!$A$7:$P$904,3,0)),"")</f>
        <v>16</v>
      </c>
      <c r="J30" s="482" t="n">
        <f aca="false">IF(ISNUMBER(H30),IF(ISERROR(VLOOKUP($A30,'liste reference'!$A$7:$P$904,4,0)),IF(ISERROR(VLOOKUP($A30,'liste reference'!$B$7:$P$904,3,0)),"",VLOOKUP($A30,'liste reference'!$B$7:$P$904,3,0)),VLOOKUP($A30,'liste reference'!$A$7:$P$904,4,0)),"")</f>
        <v>3</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squamosa</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1312</v>
      </c>
      <c r="Q30" s="487" t="n">
        <f aca="false">IF(ISTEXT(H30),"",(B30*$B$7/100)+(C30*$C$7/100))</f>
        <v>0.05</v>
      </c>
      <c r="R30" s="488" t="n">
        <f aca="false">IF(OR(ISTEXT(H30),Q30=0),"",IF(Q30&lt;0.1,1,IF(Q30&lt;1,2,IF(Q30&lt;10,3,IF(Q30&lt;50,4,IF(Q30&gt;=50,5,""))))))</f>
        <v>1</v>
      </c>
      <c r="S30" s="488" t="n">
        <f aca="false">IF(ISERROR(R30*I30),0,R30*I30)</f>
        <v>16</v>
      </c>
      <c r="T30" s="488" t="n">
        <f aca="false">IF(ISERROR(R30*I30*J30),0,R30*I30*J30)</f>
        <v>48</v>
      </c>
      <c r="U30" s="500" t="n">
        <f aca="false">IF(ISERROR(R30*J30),0,R30*J30)</f>
        <v>3</v>
      </c>
      <c r="V30" s="489" t="str">
        <f aca="false">IF(AND(A30="",F30=0),"",IF(F30=0,"Il manque le(s) % de rec. !",""))</f>
        <v/>
      </c>
      <c r="W30" s="490"/>
      <c r="Y30" s="491" t="str">
        <f aca="false">IF(A30="new.cod","NEWCOD",IF(AND((Z30=""),ISTEXT(A30)),A30,IF(Z30="","",INDEX('liste reference'!$A$8:$A$904,Z30))))</f>
        <v>FONSQU</v>
      </c>
      <c r="Z30" s="281" t="n">
        <f aca="false">IF(ISERROR(MATCH(A30,'liste reference'!$A$8:$A$904,0)),IF(ISERROR(MATCH(A30,'liste reference'!$B$8:$B$904,0)),"",(MATCH(A30,'liste reference'!$B$8:$B$904,0))),(MATCH(A30,'liste reference'!$A$8:$A$904,0)))</f>
        <v>214</v>
      </c>
      <c r="AA30" s="492"/>
      <c r="AB30" s="493"/>
      <c r="AC30" s="493"/>
      <c r="BB30" s="281" t="n">
        <f aca="false">IF(A30="","",1)</f>
        <v>1</v>
      </c>
    </row>
    <row r="31" customFormat="false" ht="12.75" hidden="false" customHeight="false" outlineLevel="0" collapsed="false">
      <c r="A31" s="494" t="s">
        <v>1057</v>
      </c>
      <c r="B31" s="495" t="n">
        <v>4.5</v>
      </c>
      <c r="C31" s="496"/>
      <c r="D31" s="478" t="str">
        <f aca="false">IF(ISERROR(VLOOKUP($A31,'liste reference'!$A$7:$D$904,2,0)),IF(ISERROR(VLOOKUP($A31,'liste reference'!$B$7:$D$904,1,0)),"",VLOOKUP($A31,'liste reference'!$B$7:$D$904,1,0)),VLOOKUP($A31,'liste reference'!$A$7:$D$904,2,0))</f>
        <v>Rhynchostegium riparioides</v>
      </c>
      <c r="E31" s="497" t="e">
        <f aca="false">IF(D31="",0,VLOOKUP(D31,D$22:D30,1,0))</f>
        <v>#N/A</v>
      </c>
      <c r="F31" s="498" t="n">
        <f aca="false">($B31*$B$7+$C31*$C$7)/100</f>
        <v>4.5</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12</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1268</v>
      </c>
      <c r="Q31" s="487" t="n">
        <f aca="false">IF(ISTEXT(H31),"",(B31*$B$7/100)+(C31*$C$7/100))</f>
        <v>4.5</v>
      </c>
      <c r="R31" s="488" t="n">
        <f aca="false">IF(OR(ISTEXT(H31),Q31=0),"",IF(Q31&lt;0.1,1,IF(Q31&lt;1,2,IF(Q31&lt;10,3,IF(Q31&lt;50,4,IF(Q31&gt;=50,5,""))))))</f>
        <v>3</v>
      </c>
      <c r="S31" s="488" t="n">
        <f aca="false">IF(ISERROR(R31*I31),0,R31*I31)</f>
        <v>36</v>
      </c>
      <c r="T31" s="488" t="n">
        <f aca="false">IF(ISERROR(R31*I31*J31),0,R31*I31*J31)</f>
        <v>36</v>
      </c>
      <c r="U31" s="500" t="n">
        <f aca="false">IF(ISERROR(R31*J31),0,R31*J31)</f>
        <v>3</v>
      </c>
      <c r="V31" s="489" t="str">
        <f aca="false">IF(AND(A31="",F31=0),"",IF(F31=0,"Il manque le(s) % de rec. !",""))</f>
        <v/>
      </c>
      <c r="W31" s="490"/>
      <c r="Y31" s="491" t="str">
        <f aca="false">IF(A31="new.cod","NEWCOD",IF(AND((Z31=""),ISTEXT(A31)),A31,IF(Z31="","",INDEX('liste reference'!$A$8:$A$904,Z31))))</f>
        <v>RHYRIP</v>
      </c>
      <c r="Z31" s="281" t="n">
        <f aca="false">IF(ISERROR(MATCH(A31,'liste reference'!$A$8:$A$904,0)),IF(ISERROR(MATCH(A31,'liste reference'!$B$8:$B$904,0)),"",(MATCH(A31,'liste reference'!$B$8:$B$904,0))),(MATCH(A31,'liste reference'!$A$8:$A$904,0)))</f>
        <v>252</v>
      </c>
      <c r="AA31" s="492"/>
      <c r="AB31" s="493"/>
      <c r="AC31" s="493"/>
      <c r="BB31" s="281" t="n">
        <f aca="false">IF(A31="","",1)</f>
        <v>1</v>
      </c>
    </row>
    <row r="32" customFormat="false" ht="12.75" hidden="false" customHeight="false" outlineLevel="0" collapsed="false">
      <c r="A32" s="494" t="s">
        <v>1124</v>
      </c>
      <c r="B32" s="495" t="n">
        <v>0.005</v>
      </c>
      <c r="C32" s="496"/>
      <c r="D32" s="478" t="str">
        <f aca="false">IF(ISERROR(VLOOKUP($A32,'liste reference'!$A$7:$D$904,2,0)),IF(ISERROR(VLOOKUP($A32,'liste reference'!$B$7:$D$904,1,0)),"",VLOOKUP($A32,'liste reference'!$B$7:$D$904,1,0)),VLOOKUP($A32,'liste reference'!$A$7:$D$904,2,0))</f>
        <v>Thamnobryum alopecurum</v>
      </c>
      <c r="E32" s="497" t="e">
        <f aca="false">IF(D32="",0,VLOOKUP(D32,D$22:D31,1,0))</f>
        <v>#N/A</v>
      </c>
      <c r="F32" s="498" t="n">
        <f aca="false">($B32*$B$7+$C32*$C$7)/100</f>
        <v>0.005</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Thamnobryum alopecurum</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1344</v>
      </c>
      <c r="Q32" s="487" t="n">
        <f aca="false">IF(ISTEXT(H32),"",(B32*$B$7/100)+(C32*$C$7/100))</f>
        <v>0.005</v>
      </c>
      <c r="R32" s="488" t="n">
        <f aca="false">IF(OR(ISTEXT(H32),Q32=0),"",IF(Q32&lt;0.1,1,IF(Q32&lt;1,2,IF(Q32&lt;10,3,IF(Q32&lt;50,4,IF(Q32&gt;=50,5,""))))))</f>
        <v>1</v>
      </c>
      <c r="S32" s="488" t="n">
        <f aca="false">IF(ISERROR(R32*I32),0,R32*I32)</f>
        <v>15</v>
      </c>
      <c r="T32" s="488" t="n">
        <f aca="false">IF(ISERROR(R32*I32*J32),0,R32*I32*J32)</f>
        <v>30</v>
      </c>
      <c r="U32" s="500" t="n">
        <f aca="false">IF(ISERROR(R32*J32),0,R32*J32)</f>
        <v>2</v>
      </c>
      <c r="V32" s="489" t="str">
        <f aca="false">IF(AND(A32="",F32=0),"",IF(F32=0,"Il manque le(s) % de rec. !",""))</f>
        <v/>
      </c>
      <c r="W32" s="490"/>
      <c r="Y32" s="491" t="str">
        <f aca="false">IF(A32="new.cod","NEWCOD",IF(AND((Z32=""),ISTEXT(A32)),A32,IF(Z32="","",INDEX('liste reference'!$A$8:$A$904,Z32))))</f>
        <v>THAALO</v>
      </c>
      <c r="Z32" s="281" t="n">
        <f aca="false">IF(ISERROR(MATCH(A32,'liste reference'!$A$8:$A$904,0)),IF(ISERROR(MATCH(A32,'liste reference'!$B$8:$B$904,0)),"",(MATCH(A32,'liste reference'!$B$8:$B$904,0))),(MATCH(A32,'liste reference'!$A$8:$A$904,0)))</f>
        <v>267</v>
      </c>
      <c r="AA32" s="492"/>
      <c r="AB32" s="493"/>
      <c r="AC32" s="493"/>
      <c r="BB32" s="281" t="n">
        <f aca="false">IF(A32="","",1)</f>
        <v>1</v>
      </c>
    </row>
    <row r="33" customFormat="false" ht="12.75" hidden="false" customHeight="false" outlineLevel="0" collapsed="false">
      <c r="A33" s="494" t="s">
        <v>1156</v>
      </c>
      <c r="B33" s="495" t="n">
        <v>0.005</v>
      </c>
      <c r="C33" s="496"/>
      <c r="D33" s="478" t="str">
        <f aca="false">IF(ISERROR(VLOOKUP($A33,'liste reference'!$A$7:$D$904,2,0)),IF(ISERROR(VLOOKUP($A33,'liste reference'!$B$7:$D$904,1,0)),"",VLOOKUP($A33,'liste reference'!$B$7:$D$904,1,0)),VLOOKUP($A33,'liste reference'!$A$7:$D$904,2,0))</f>
        <v>Equisetum arvense</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PTE</v>
      </c>
      <c r="H33" s="481" t="n">
        <f aca="false">IF(A33="","x",IF(ISERROR(VLOOKUP($A33,'liste reference'!$A$8:$P$904,14,0)),IF(ISERROR(VLOOKUP($A33,'liste reference'!$B$8:$P$904,13,0)),"x",VLOOKUP($A33,'liste reference'!$B$8:$P$904,13,0)),VLOOKUP($A33,'liste reference'!$A$8:$P$904,14,0)))</f>
        <v>6</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1384</v>
      </c>
      <c r="Q33" s="487" t="n">
        <f aca="false">IF(ISTEXT(H33),"",(B33*$B$7/100)+(C33*$C$7/100))</f>
        <v>0.005</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EQUARV</v>
      </c>
      <c r="Z33" s="281" t="n">
        <f aca="false">IF(ISERROR(MATCH(A33,'liste reference'!$A$8:$A$904,0)),IF(ISERROR(MATCH(A33,'liste reference'!$B$8:$B$904,0)),"",(MATCH(A33,'liste reference'!$B$8:$B$904,0))),(MATCH(A33,'liste reference'!$A$8:$A$904,0)))</f>
        <v>278</v>
      </c>
      <c r="AA33" s="492"/>
      <c r="AB33" s="493"/>
      <c r="AC33" s="493"/>
      <c r="BB33" s="281" t="n">
        <f aca="false">IF(A33="","",1)</f>
        <v>1</v>
      </c>
    </row>
    <row r="34" customFormat="false" ht="12.75" hidden="false" customHeight="false" outlineLevel="0" collapsed="false">
      <c r="A34" s="494" t="s">
        <v>1870</v>
      </c>
      <c r="B34" s="495" t="n">
        <v>0.005</v>
      </c>
      <c r="C34" s="496"/>
      <c r="D34" s="478" t="str">
        <f aca="false">IF(ISERROR(VLOOKUP($A34,'liste reference'!$A$7:$D$904,2,0)),IF(ISERROR(VLOOKUP($A34,'liste reference'!$B$7:$D$904,1,0)),"",VLOOKUP($A34,'liste reference'!$B$7:$D$904,1,0)),VLOOKUP($A34,'liste reference'!$A$7:$D$904,2,0))</f>
        <v>Glyceria notata</v>
      </c>
      <c r="E34" s="497" t="e">
        <f aca="false">IF(D34="",0,VLOOKUP(D34,D$22:D33,1,0))</f>
        <v>#N/A</v>
      </c>
      <c r="F34" s="501" t="n">
        <f aca="false">($B34*$B$7+$C34*$C$7)/100</f>
        <v>0.005</v>
      </c>
      <c r="G34" s="480" t="str">
        <f aca="false">IF(A34="","",IF(ISERROR(VLOOKUP($A34,'liste reference'!$A$7:$P$904,13,0)),IF(ISERROR(VLOOKUP($A34,'liste reference'!$B$7:$P$904,12,0)),"    -",VLOOKUP($A34,'liste reference'!$B$7:$P$904,12,0)),VLOOKUP($A34,'liste reference'!$A$7:$P$904,13,0)))</f>
        <v>PHe</v>
      </c>
      <c r="H34" s="481" t="n">
        <f aca="false">IF(A34="","x",IF(ISERROR(VLOOKUP($A34,'liste reference'!$A$8:$P$904,14,0)),IF(ISERROR(VLOOKUP($A34,'liste reference'!$B$8:$P$904,13,0)),"x",VLOOKUP($A34,'liste reference'!$B$8:$P$904,13,0)),VLOOKUP($A34,'liste reference'!$A$8:$P$904,14,0)))</f>
        <v>8</v>
      </c>
      <c r="I34" s="482" t="n">
        <f aca="false">IF(ISNUMBER(H34),IF(ISERROR(VLOOKUP($A34,'liste reference'!$A$7:$P$904,3,0)),IF(ISERROR(VLOOKUP($A34,'liste reference'!$B$7:$P$904,2,0)),"",VLOOKUP($A34,'liste reference'!$B$7:$P$904,2,0)),VLOOKUP($A34,'liste reference'!$A$7:$P$904,3,0)),"")</f>
        <v>0</v>
      </c>
      <c r="J34" s="482" t="n">
        <f aca="false">IF(ISNUMBER(H34),IF(ISERROR(VLOOKUP($A34,'liste reference'!$A$7:$P$904,4,0)),IF(ISERROR(VLOOKUP($A34,'liste reference'!$B$7:$P$904,3,0)),"",VLOOKUP($A34,'liste reference'!$B$7:$P$904,3,0)),VLOOKUP($A34,'liste reference'!$A$7:$P$904,4,0)),"")</f>
        <v>0</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Glyceria notata</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1566</v>
      </c>
      <c r="Q34" s="487" t="n">
        <f aca="false">IF(ISTEXT(H34),"",(B34*$B$7/100)+(C34*$C$7/100))</f>
        <v>0.005</v>
      </c>
      <c r="R34" s="488" t="n">
        <f aca="false">IF(OR(ISTEXT(H34),Q34=0),"",IF(Q34&lt;0.1,1,IF(Q34&lt;1,2,IF(Q34&lt;10,3,IF(Q34&lt;50,4,IF(Q34&gt;=50,5,""))))))</f>
        <v>1</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GLYNOT</v>
      </c>
      <c r="Z34" s="281" t="n">
        <f aca="false">IF(ISERROR(MATCH(A34,'liste reference'!$A$8:$A$904,0)),IF(ISERROR(MATCH(A34,'liste reference'!$B$8:$B$904,0)),"",(MATCH(A34,'liste reference'!$B$8:$B$904,0))),(MATCH(A34,'liste reference'!$A$8:$A$904,0)))</f>
        <v>576</v>
      </c>
      <c r="AA34" s="492"/>
      <c r="AB34" s="493"/>
      <c r="AC34" s="493"/>
      <c r="BB34" s="281" t="n">
        <f aca="false">IF(A34="","",1)</f>
        <v>1</v>
      </c>
    </row>
    <row r="35" customFormat="false" ht="12.75" hidden="false" customHeight="false" outlineLevel="0" collapsed="false">
      <c r="A35" s="494" t="s">
        <v>2113</v>
      </c>
      <c r="B35" s="495" t="n">
        <v>0.01</v>
      </c>
      <c r="C35" s="496"/>
      <c r="D35" s="478" t="str">
        <f aca="false">IF(ISERROR(VLOOKUP($A35,'liste reference'!$A$7:$D$904,2,0)),IF(ISERROR(VLOOKUP($A35,'liste reference'!$B$7:$D$904,1,0)),"",VLOOKUP($A35,'liste reference'!$B$7:$D$904,1,0)),VLOOKUP($A35,'liste reference'!$A$7:$D$904,2,0))</f>
        <v>Veronica beccabunga</v>
      </c>
      <c r="E35" s="497" t="e">
        <f aca="false">IF(D35="",0,VLOOKUP(D35,D$22:D34,1,0))</f>
        <v>#N/A</v>
      </c>
      <c r="F35" s="501" t="n">
        <f aca="false">($B35*$B$7+$C35*$C$7)/100</f>
        <v>0.01</v>
      </c>
      <c r="G35" s="480" t="str">
        <f aca="false">IF(A35="","",IF(ISERROR(VLOOKUP($A35,'liste reference'!$A$7:$P$904,13,0)),IF(ISERROR(VLOOKUP($A35,'liste reference'!$B$7:$P$904,12,0)),"    -",VLOOKUP($A35,'liste reference'!$B$7:$P$904,12,0)),VLOOKUP($A35,'liste reference'!$A$7:$P$904,13,0)))</f>
        <v>PHe</v>
      </c>
      <c r="H35" s="481" t="n">
        <f aca="false">IF(A35="","x",IF(ISERROR(VLOOKUP($A35,'liste reference'!$A$8:$P$904,14,0)),IF(ISERROR(VLOOKUP($A35,'liste reference'!$B$8:$P$904,13,0)),"x",VLOOKUP($A35,'liste reference'!$B$8:$P$904,13,0)),VLOOKUP($A35,'liste reference'!$A$8:$P$904,14,0)))</f>
        <v>8</v>
      </c>
      <c r="I35" s="482" t="n">
        <f aca="false">IF(ISNUMBER(H35),IF(ISERROR(VLOOKUP($A35,'liste reference'!$A$7:$P$904,3,0)),IF(ISERROR(VLOOKUP($A35,'liste reference'!$B$7:$P$904,2,0)),"",VLOOKUP($A35,'liste reference'!$B$7:$P$904,2,0)),VLOOKUP($A35,'liste reference'!$A$7:$P$904,3,0)),"")</f>
        <v>10</v>
      </c>
      <c r="J35" s="482" t="n">
        <f aca="false">IF(ISNUMBER(H35),IF(ISERROR(VLOOKUP($A35,'liste reference'!$A$7:$P$904,4,0)),IF(ISERROR(VLOOKUP($A35,'liste reference'!$B$7:$P$904,3,0)),"",VLOOKUP($A35,'liste reference'!$B$7:$P$904,3,0)),VLOOKUP($A35,'liste reference'!$A$7:$P$904,4,0)),"")</f>
        <v>1</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Veronica beccabunga</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1957</v>
      </c>
      <c r="Q35" s="487" t="n">
        <f aca="false">IF(ISTEXT(H35),"",(B35*$B$7/100)+(C35*$C$7/100))</f>
        <v>0.01</v>
      </c>
      <c r="R35" s="488" t="n">
        <f aca="false">IF(OR(ISTEXT(H35),Q35=0),"",IF(Q35&lt;0.1,1,IF(Q35&lt;1,2,IF(Q35&lt;10,3,IF(Q35&lt;50,4,IF(Q35&gt;=50,5,""))))))</f>
        <v>1</v>
      </c>
      <c r="S35" s="488" t="n">
        <f aca="false">IF(ISERROR(R35*I35),0,R35*I35)</f>
        <v>10</v>
      </c>
      <c r="T35" s="488" t="n">
        <f aca="false">IF(ISERROR(R35*I35*J35),0,R35*I35*J35)</f>
        <v>10</v>
      </c>
      <c r="U35" s="500" t="n">
        <f aca="false">IF(ISERROR(R35*J35),0,R35*J35)</f>
        <v>1</v>
      </c>
      <c r="V35" s="489" t="str">
        <f aca="false">IF(AND(A35="",F35=0),"",IF(F35=0,"Il manque le(s) % de rec. !",""))</f>
        <v/>
      </c>
      <c r="W35" s="490"/>
      <c r="Y35" s="491" t="str">
        <f aca="false">IF(A35="new.cod","NEWCOD",IF(AND((Z35=""),ISTEXT(A35)),A35,IF(Z35="","",INDEX('liste reference'!$A$8:$A$904,Z35))))</f>
        <v>VERBEC</v>
      </c>
      <c r="Z35" s="281" t="n">
        <f aca="false">IF(ISERROR(MATCH(A35,'liste reference'!$A$8:$A$904,0)),IF(ISERROR(MATCH(A35,'liste reference'!$B$8:$B$904,0)),"",(MATCH(A35,'liste reference'!$B$8:$B$904,0))),(MATCH(A35,'liste reference'!$A$8:$A$904,0)))</f>
        <v>683</v>
      </c>
      <c r="AA35" s="492"/>
      <c r="AB35" s="493"/>
      <c r="AC35" s="493"/>
      <c r="BB35" s="281" t="n">
        <f aca="false">IF(A35="","",1)</f>
        <v>1</v>
      </c>
    </row>
    <row r="36" customFormat="false" ht="12.75" hidden="false" customHeight="false" outlineLevel="0" collapsed="false">
      <c r="A36" s="494" t="s">
        <v>2196</v>
      </c>
      <c r="B36" s="495" t="n">
        <v>0.01</v>
      </c>
      <c r="C36" s="496"/>
      <c r="D36" s="478" t="str">
        <f aca="false">IF(ISERROR(VLOOKUP($A36,'liste reference'!$A$7:$D$904,2,0)),IF(ISERROR(VLOOKUP($A36,'liste reference'!$B$7:$D$904,1,0)),"",VLOOKUP($A36,'liste reference'!$B$7:$D$904,1,0)),VLOOKUP($A36,'liste reference'!$A$7:$D$904,2,0))</f>
        <v>Chrysosplenium oppositifolium</v>
      </c>
      <c r="E36" s="497" t="e">
        <f aca="false">IF(D36="",0,VLOOKUP(D36,D$22:D35,1,0))</f>
        <v>#N/A</v>
      </c>
      <c r="F36" s="501" t="n">
        <f aca="false">($B36*$B$7+$C36*$C$7)/100</f>
        <v>0.01</v>
      </c>
      <c r="G36" s="480" t="str">
        <f aca="false">IF(A36="","",IF(ISERROR(VLOOKUP($A36,'liste reference'!$A$7:$P$904,13,0)),IF(ISERROR(VLOOKUP($A36,'liste reference'!$B$7:$P$904,12,0)),"    -",VLOOKUP($A36,'liste reference'!$B$7:$P$904,12,0)),VLOOKUP($A36,'liste reference'!$A$7:$P$904,13,0)))</f>
        <v>PHg</v>
      </c>
      <c r="H36" s="481" t="n">
        <f aca="false">IF(A36="","x",IF(ISERROR(VLOOKUP($A36,'liste reference'!$A$8:$P$904,14,0)),IF(ISERROR(VLOOKUP($A36,'liste reference'!$B$8:$P$904,13,0)),"x",VLOOKUP($A36,'liste reference'!$B$8:$P$904,13,0)),VLOOKUP($A36,'liste reference'!$A$8:$P$904,14,0)))</f>
        <v>9</v>
      </c>
      <c r="I36" s="482" t="n">
        <f aca="false">IF(ISNUMBER(H36),IF(ISERROR(VLOOKUP($A36,'liste reference'!$A$7:$P$904,3,0)),IF(ISERROR(VLOOKUP($A36,'liste reference'!$B$7:$P$904,2,0)),"",VLOOKUP($A36,'liste reference'!$B$7:$P$904,2,0)),VLOOKUP($A36,'liste reference'!$A$7:$P$904,3,0)),"")</f>
        <v>0</v>
      </c>
      <c r="J36" s="482" t="n">
        <f aca="false">IF(ISNUMBER(H36),IF(ISERROR(VLOOKUP($A36,'liste reference'!$A$7:$P$904,4,0)),IF(ISERROR(VLOOKUP($A36,'liste reference'!$B$7:$P$904,3,0)),"",VLOOKUP($A36,'liste reference'!$B$7:$P$904,3,0)),VLOOKUP($A36,'liste reference'!$A$7:$P$904,4,0)),"")</f>
        <v>0</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Chrysosplenium oppositifolium</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1939</v>
      </c>
      <c r="Q36" s="487" t="n">
        <f aca="false">IF(ISTEXT(H36),"",(B36*$B$7/100)+(C36*$C$7/100))</f>
        <v>0.01</v>
      </c>
      <c r="R36" s="488" t="n">
        <f aca="false">IF(OR(ISTEXT(H36),Q36=0),"",IF(Q36&lt;0.1,1,IF(Q36&lt;1,2,IF(Q36&lt;10,3,IF(Q36&lt;50,4,IF(Q36&gt;=50,5,""))))))</f>
        <v>1</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CHROPP</v>
      </c>
      <c r="Z36" s="281" t="n">
        <f aca="false">IF(ISERROR(MATCH(A36,'liste reference'!$A$8:$A$904,0)),IF(ISERROR(MATCH(A36,'liste reference'!$B$8:$B$904,0)),"",(MATCH(A36,'liste reference'!$B$8:$B$904,0))),(MATCH(A36,'liste reference'!$A$8:$A$904,0)))</f>
        <v>719</v>
      </c>
      <c r="AA36" s="492"/>
      <c r="AB36" s="493"/>
      <c r="AC36" s="493"/>
      <c r="BB36" s="281" t="n">
        <f aca="false">IF(A36="","",1)</f>
        <v>1</v>
      </c>
    </row>
    <row r="37" customFormat="false" ht="12.75" hidden="false" customHeight="false" outlineLevel="0" collapsed="false">
      <c r="A37" s="494" t="s">
        <v>2392</v>
      </c>
      <c r="B37" s="495" t="n">
        <v>0.005</v>
      </c>
      <c r="C37" s="496"/>
      <c r="D37" s="478" t="str">
        <f aca="false">IF(ISERROR(VLOOKUP($A37,'liste reference'!$A$7:$D$904,2,0)),IF(ISERROR(VLOOKUP($A37,'liste reference'!$B$7:$D$904,1,0)),"",VLOOKUP($A37,'liste reference'!$B$7:$D$904,1,0)),VLOOKUP($A37,'liste reference'!$A$7:$D$904,2,0))</f>
        <v>Ranunculus repens</v>
      </c>
      <c r="E37" s="497" t="e">
        <f aca="false">IF(D37="",0,VLOOKUP(D37,D$22:D36,1,0))</f>
        <v>#N/A</v>
      </c>
      <c r="F37" s="501" t="n">
        <f aca="false">($B37*$B$7+$C37*$C$7)/100</f>
        <v>0.005</v>
      </c>
      <c r="G37" s="480" t="str">
        <f aca="false">IF(A37="","",IF(ISERROR(VLOOKUP($A37,'liste reference'!$A$7:$P$904,13,0)),IF(ISERROR(VLOOKUP($A37,'liste reference'!$B$7:$P$904,12,0)),"    -",VLOOKUP($A37,'liste reference'!$B$7:$P$904,12,0)),VLOOKUP($A37,'liste reference'!$A$7:$P$904,13,0)))</f>
        <v>PHg</v>
      </c>
      <c r="H37" s="481" t="n">
        <f aca="false">IF(A37="","x",IF(ISERROR(VLOOKUP($A37,'liste reference'!$A$8:$P$904,14,0)),IF(ISERROR(VLOOKUP($A37,'liste reference'!$B$8:$P$904,13,0)),"x",VLOOKUP($A37,'liste reference'!$B$8:$P$904,13,0)),VLOOKUP($A37,'liste reference'!$A$8:$P$904,14,0)))</f>
        <v>9</v>
      </c>
      <c r="I37" s="482" t="n">
        <f aca="false">IF(ISNUMBER(H37),IF(ISERROR(VLOOKUP($A37,'liste reference'!$A$7:$P$904,3,0)),IF(ISERROR(VLOOKUP($A37,'liste reference'!$B$7:$P$904,2,0)),"",VLOOKUP($A37,'liste reference'!$B$7:$P$904,2,0)),VLOOKUP($A37,'liste reference'!$A$7:$P$904,3,0)),"")</f>
        <v>0</v>
      </c>
      <c r="J37" s="482" t="n">
        <f aca="false">IF(ISNUMBER(H37),IF(ISERROR(VLOOKUP($A37,'liste reference'!$A$7:$P$904,4,0)),IF(ISERROR(VLOOKUP($A37,'liste reference'!$B$7:$P$904,3,0)),"",VLOOKUP($A37,'liste reference'!$B$7:$P$904,3,0)),VLOOKUP($A37,'liste reference'!$A$7:$P$904,4,0)),"")</f>
        <v>0</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Ranunculus repens</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1910</v>
      </c>
      <c r="Q37" s="487" t="n">
        <f aca="false">IF(ISTEXT(H37),"",(B37*$B$7/100)+(C37*$C$7/100))</f>
        <v>0.005</v>
      </c>
      <c r="R37" s="488" t="n">
        <f aca="false">IF(OR(ISTEXT(H37),Q37=0),"",IF(Q37&lt;0.1,1,IF(Q37&lt;1,2,IF(Q37&lt;10,3,IF(Q37&lt;50,4,IF(Q37&gt;=50,5,""))))))</f>
        <v>1</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RANREP</v>
      </c>
      <c r="Z37" s="281" t="n">
        <f aca="false">IF(ISERROR(MATCH(A37,'liste reference'!$A$8:$A$904,0)),IF(ISERROR(MATCH(A37,'liste reference'!$B$8:$B$904,0)),"",(MATCH(A37,'liste reference'!$B$8:$B$904,0))),(MATCH(A37,'liste reference'!$A$8:$A$904,0)))</f>
        <v>803</v>
      </c>
      <c r="AA37" s="492"/>
      <c r="AB37" s="493"/>
      <c r="AC37" s="493"/>
      <c r="BB37" s="281" t="n">
        <f aca="false">IF(A37="","",1)</f>
        <v>1</v>
      </c>
    </row>
    <row r="38" customFormat="false" ht="12.75" hidden="false" customHeight="false" outlineLevel="0" collapsed="false">
      <c r="A38" s="494" t="s">
        <v>2687</v>
      </c>
      <c r="B38" s="495" t="n">
        <v>0.005</v>
      </c>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0.005</v>
      </c>
      <c r="G38" s="480" t="str">
        <f aca="false">IF(A38="","",IF(ISERROR(VLOOKUP($A38,'liste reference'!$A$7:$P$904,13,0)),IF(ISERROR(VLOOKUP($A38,'liste reference'!$B$7:$P$904,12,0)),"    -",VLOOKUP($A38,'liste reference'!$B$7:$P$904,12,0)),VLOOKUP($A38,'liste reference'!$A$7:$P$904,13,0)))</f>
        <v>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Cardamine raphanifolia</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No</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NEWCOD</v>
      </c>
      <c r="Z38" s="281" t="str">
        <f aca="false">IF(ISERROR(MATCH(A38,'liste reference'!$A$8:$A$904,0)),IF(ISERROR(MATCH(A38,'liste reference'!$B$8:$B$904,0)),"",(MATCH(A38,'liste reference'!$B$8:$B$904,0))),(MATCH(A38,'liste reference'!$A$8:$A$904,0)))</f>
        <v/>
      </c>
      <c r="AA38" s="492"/>
      <c r="AB38" s="493" t="s">
        <v>2688</v>
      </c>
      <c r="AC38" s="493"/>
      <c r="BB38" s="281" t="n">
        <f aca="false">IF(A38="","",1)</f>
        <v>1</v>
      </c>
    </row>
    <row r="39" customFormat="false" ht="12.75" hidden="false" customHeight="false" outlineLevel="0" collapsed="false">
      <c r="A39" s="494" t="s">
        <v>2687</v>
      </c>
      <c r="B39" s="495" t="n">
        <v>0.005</v>
      </c>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0.005</v>
      </c>
      <c r="G39" s="480" t="str">
        <f aca="false">IF(A39="","",IF(ISERROR(VLOOKUP($A39,'liste reference'!$A$7:$P$904,13,0)),IF(ISERROR(VLOOKUP($A39,'liste reference'!$B$7:$P$904,12,0)),"    -",VLOOKUP($A39,'liste reference'!$B$7:$P$904,12,0)),VLOOKUP($A39,'liste reference'!$A$7:$P$904,13,0)))</f>
        <v>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Grimmiacae</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No</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NEWCOD</v>
      </c>
      <c r="Z39" s="281" t="str">
        <f aca="false">IF(ISERROR(MATCH(A39,'liste reference'!$A$8:$A$904,0)),IF(ISERROR(MATCH(A39,'liste reference'!$B$8:$B$904,0)),"",(MATCH(A39,'liste reference'!$B$8:$B$904,0))),(MATCH(A39,'liste reference'!$A$8:$A$904,0)))</f>
        <v/>
      </c>
      <c r="AA39" s="492"/>
      <c r="AB39" s="493" t="s">
        <v>2689</v>
      </c>
      <c r="AC39" s="493"/>
      <c r="BB39" s="281" t="n">
        <f aca="false">IF(A39="","",1)</f>
        <v>1</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IF(D41="",0,VLOOKUP(D41,D$21:D40,1,0))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X41" s="502"/>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3"/>
      <c r="M43" s="503"/>
      <c r="N43" s="503"/>
      <c r="O43" s="485"/>
      <c r="P43" s="504"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3"/>
      <c r="M44" s="503"/>
      <c r="N44" s="503"/>
      <c r="O44" s="485"/>
      <c r="P44" s="504"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IF(D46="",0,VLOOKUP(D46,D$22:D45,1,0))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X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IF(D47="",0,VLOOKUP(D47,D$22:D40,1,0))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505"/>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9"/>
      <c r="M59" s="499"/>
      <c r="N59" s="499"/>
      <c r="O59" s="485"/>
      <c r="P59" s="48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X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TET</v>
      </c>
      <c r="B84" s="530" t="str">
        <f aca="false">C3</f>
        <v>Sauto</v>
      </c>
      <c r="C84" s="531" t="n">
        <f aca="false">A4</f>
        <v>41107</v>
      </c>
      <c r="D84" s="532" t="n">
        <f aca="false">IF(ISERROR(SUM($T$23:$T$82)/SUM($U$23:$U$82)),"",SUM($T$23:$T$82)/SUM($U$23:$U$82))</f>
        <v>13.5</v>
      </c>
      <c r="E84" s="533" t="n">
        <f aca="false">N13</f>
        <v>17</v>
      </c>
      <c r="F84" s="530" t="n">
        <f aca="false">N14</f>
        <v>15</v>
      </c>
      <c r="G84" s="530" t="n">
        <f aca="false">N15</f>
        <v>3</v>
      </c>
      <c r="H84" s="530" t="n">
        <f aca="false">N16</f>
        <v>7</v>
      </c>
      <c r="I84" s="530" t="n">
        <f aca="false">N17</f>
        <v>1</v>
      </c>
      <c r="J84" s="534" t="n">
        <f aca="false">N8</f>
        <v>9.6</v>
      </c>
      <c r="K84" s="532" t="n">
        <f aca="false">N9</f>
        <v>6.06410202200897</v>
      </c>
      <c r="L84" s="533" t="n">
        <f aca="false">N10</f>
        <v>0</v>
      </c>
      <c r="M84" s="533" t="n">
        <f aca="false">N11</f>
        <v>16</v>
      </c>
      <c r="N84" s="532" t="n">
        <f aca="false">O8</f>
        <v>1.33333333333333</v>
      </c>
      <c r="O84" s="532" t="n">
        <f aca="false">O9</f>
        <v>0.942809041582064</v>
      </c>
      <c r="P84" s="533" t="n">
        <f aca="false">O10</f>
        <v>0</v>
      </c>
      <c r="Q84" s="533" t="n">
        <f aca="false">O11</f>
        <v>3</v>
      </c>
      <c r="R84" s="533" t="n">
        <f aca="false">F21</f>
        <v>5.181</v>
      </c>
      <c r="S84" s="533" t="n">
        <f aca="false">K11</f>
        <v>0</v>
      </c>
      <c r="T84" s="533" t="n">
        <f aca="false">K12</f>
        <v>3</v>
      </c>
      <c r="U84" s="533" t="n">
        <f aca="false">K13</f>
        <v>7</v>
      </c>
      <c r="V84" s="535" t="n">
        <f aca="false">K14</f>
        <v>1</v>
      </c>
      <c r="W84" s="536" t="n">
        <f aca="false">K15</f>
        <v>4</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36</v>
      </c>
      <c r="T87" s="281"/>
      <c r="U87" s="281"/>
      <c r="V87" s="281"/>
    </row>
    <row r="88" customFormat="false" ht="12.75" hidden="true" customHeight="false" outlineLevel="0" collapsed="false">
      <c r="P88" s="281"/>
      <c r="Q88" s="281" t="s">
        <v>2693</v>
      </c>
      <c r="R88" s="281"/>
      <c r="S88" s="489" t="n">
        <f aca="false">VLOOKUP((S87),($S$23:$U$82),2,0)</f>
        <v>36</v>
      </c>
      <c r="T88" s="281"/>
      <c r="U88" s="281"/>
      <c r="V88" s="281"/>
    </row>
    <row r="89" customFormat="false" ht="12.75" hidden="true" customHeight="false" outlineLevel="0" collapsed="false">
      <c r="Q89" s="281" t="s">
        <v>2694</v>
      </c>
      <c r="R89" s="281"/>
      <c r="S89" s="489" t="n">
        <f aca="false">VLOOKUP((S87),($S$23:$U$82),3,0)</f>
        <v>3</v>
      </c>
      <c r="T89" s="281"/>
    </row>
    <row r="90" customFormat="false" ht="12.75" hidden="false" customHeight="false" outlineLevel="0" collapsed="false">
      <c r="Q90" s="281" t="s">
        <v>2695</v>
      </c>
      <c r="R90" s="281"/>
      <c r="S90" s="539" t="n">
        <f aca="false">IF(ISERROR(SUM($T$23:$T$82)/SUM($U$23:$U$82)),"",(SUM($T$23:$T$82)-S88)/(SUM($U$23:$U$82)-S89))</f>
        <v>13.68</v>
      </c>
      <c r="T90" s="281"/>
    </row>
    <row r="91" customFormat="false" ht="12.75" hidden="false" customHeight="false" outlineLevel="0" collapsed="false">
      <c r="Q91" s="488" t="s">
        <v>2696</v>
      </c>
      <c r="R91" s="488"/>
      <c r="S91" s="488" t="str">
        <f aca="false">INDEX('liste reference'!$A$8:$A$904,$T$91)</f>
        <v>RHYRIP</v>
      </c>
      <c r="T91" s="281" t="n">
        <f aca="false">IF(ISERROR(MATCH($S$93,'liste reference'!$A$8:$A$904,0)),MATCH($S$93,'liste reference'!$B$8:$B$904,0),(MATCH($S$93,'liste reference'!$A$8:$A$904,0)))</f>
        <v>252</v>
      </c>
      <c r="U91" s="528"/>
    </row>
    <row r="92" customFormat="false" ht="12.75" hidden="false" customHeight="false" outlineLevel="0" collapsed="false">
      <c r="Q92" s="281" t="s">
        <v>2697</v>
      </c>
      <c r="R92" s="281"/>
      <c r="S92" s="281" t="n">
        <f aca="false">MATCH(S87,$S$23:$S$82,0)</f>
        <v>9</v>
      </c>
      <c r="T92" s="281"/>
    </row>
    <row r="93" customFormat="false" ht="12.75" hidden="false" customHeight="false" outlineLevel="0" collapsed="false">
      <c r="Q93" s="488" t="s">
        <v>2698</v>
      </c>
      <c r="R93" s="281"/>
      <c r="S93" s="488" t="str">
        <f aca="false">INDEX($A$23:$A$82,$S$92)</f>
        <v>RHYRIP</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5"/>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1"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1"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1"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1"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1"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1"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1"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1"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1"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1"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1"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1"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1"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1"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1"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1"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1"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1"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1"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1"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1"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1"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1"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1"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2"/>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1"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1"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5"/>
      <c r="P59" s="504"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1"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5"/>
      <c r="P60" s="504"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1"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1"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1"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1"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1"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1"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1"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1"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1"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1"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1"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1"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1"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1"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1"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1"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1"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1"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1"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1"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1"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2686</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2639</v>
      </c>
    </row>
    <row r="37" customFormat="false" ht="15" hidden="false" customHeight="false" outlineLevel="0" collapsed="false">
      <c r="A37" s="567" t="s">
        <v>2144</v>
      </c>
      <c r="B37" s="568" t="s">
        <v>2145</v>
      </c>
      <c r="C37" s="570"/>
      <c r="D37" s="571"/>
      <c r="F37" s="587" t="s">
        <v>2722</v>
      </c>
    </row>
    <row r="38" customFormat="false" ht="15" hidden="false" customHeight="false" outlineLevel="0" collapsed="false">
      <c r="A38" s="567" t="s">
        <v>2147</v>
      </c>
      <c r="B38" s="568" t="s">
        <v>2148</v>
      </c>
      <c r="C38" s="570"/>
      <c r="D38" s="571"/>
      <c r="F38" s="587" t="s">
        <v>2723</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2724</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2014-09-22T08:39:13Z</dcterms:modified>
  <cp:revision>0</cp:revision>
  <dc:subject/>
  <dc:title>Feuille d'aide au calcul de l'IBMR</dc:title>
</cp:coreProperties>
</file>