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69880" sheetId="6" state="visible" r:id="rId8"/>
    <sheet name="jgjg" sheetId="7" state="hidden" r:id="rId9"/>
    <sheet name="liste codes réf" sheetId="8" state="hidden" r:id="rId10"/>
  </sheets>
  <definedNames>
    <definedName function="false" hidden="false" localSheetId="5" name="_xlnm.Print_Area" vbProcedure="false">'06169880'!$A$1:$Q$82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'06169880'!$A$1:$Q$82</definedName>
    <definedName function="false" hidden="false" localSheetId="5" name="_xlnm__FilterDatabase" vbProcedure="false">'06169880'!$A$1:$C$1415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<sst xmlns="http://schemas.openxmlformats.org/spreadsheetml/2006/main" count="8833" uniqueCount="3497">
  <si>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</si>
  <si>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</si>
  <si>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</si>
  <si>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</si>
  <si>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</si>
  <si>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</si>
  <si>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</si>
  <si>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</si>
  <si>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</si>
  <si>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</si>
  <si>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</si>
  <si>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</si>
  <si>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</si>
  <si>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</si>
  <si>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</si>
  <si>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</si>
  <si>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</si>
  <si>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</si>
  <si>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</si>
  <si>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</si>
  <si>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</si>
  <si>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</si>
  <si>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</si>
  <si>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</si>
  <si>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</si>
  <si>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</si>
  <si>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</si>
  <si>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</si>
  <si>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</si>
  <si>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</si>
  <si>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</si>
  <si>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</si>
  <si>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</si>
  <si>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</si>
  <si>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</si>
  <si>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</si>
  <si>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</si>
  <si>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</si>
  <si>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</si>
  <si>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</si>
  <si>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</si>
  <si>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</si>
  <si>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</si>
  <si>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</si>
  <si>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</si>
  <si>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</si>
  <si>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</si>
  <si>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</si>
  <si>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</si>
  <si>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</si>
  <si>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</si>
  <si>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</si>
  <si>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</si>
  <si>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</si>
  <si>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</si>
  <si>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</si>
  <si>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</si>
  <si>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</si>
  <si>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</si>
  <si>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</si>
  <si>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</si>
  <si>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</si>
  <si>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</si>
  <si>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</si>
  <si>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</si>
  <si>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</si>
  <si>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</si>
  <si>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</si>
  <si>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</si>
  <si>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</si>
  <si>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</si>
  <si>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</si>
  <si>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</si>
  <si>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</si>
  <si>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</si>
  <si>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</si>
  <si>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</si>
  <si>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</si>
  <si>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</si>
  <si>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</si>
  <si>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</si>
  <si>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</si>
  <si>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</si>
  <si>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</si>
  <si>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</si>
  <si>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</si>
  <si>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</si>
  <si>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</si>
  <si>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</si>
  <si>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</si>
  <si>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</si>
  <si>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</si>
  <si>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</si>
  <si>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</si>
  <si>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</si>
  <si>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</si>
  <si>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</si>
  <si>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</si>
  <si>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</si>
  <si>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</si>
  <si>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</si>
  <si>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</si>
  <si>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</si>
  <si>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</si>
  <si>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</si>
  <si>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</si>
  <si>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</si>
  <si>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</si>
  <si>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</si>
  <si>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</si>
  <si>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</si>
  <si>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</si>
  <si>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</si>
  <si>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</si>
  <si>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</si>
  <si>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</si>
  <si>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</si>
  <si>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</si>
  <si>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</si>
  <si>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</si>
  <si>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</si>
  <si>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</si>
  <si>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</si>
  <si>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</si>
  <si>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</si>
  <si>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</si>
  <si>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</si>
  <si>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</si>
  <si>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</si>
  <si>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</si>
  <si>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</si>
  <si>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</si>
  <si>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</si>
  <si>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</si>
  <si>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</si>
  <si>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</si>
  <si>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</si>
  <si>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</si>
  <si>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</si>
  <si>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</si>
  <si>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</si>
  <si>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</si>
  <si>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</si>
  <si>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</si>
  <si>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</si>
  <si>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</si>
  <si>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</si>
  <si>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</si>
  <si>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</si>
  <si>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</si>
  <si>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</si>
  <si>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</si>
  <si>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</si>
  <si>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</si>
  <si>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</si>
  <si>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</si>
  <si>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</si>
  <si>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</si>
  <si>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</si>
  <si>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</si>
  <si>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</si>
  <si>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</si>
  <si>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</si>
  <si>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</si>
  <si>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</si>
  <si>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</si>
  <si>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</si>
  <si>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</si>
  <si>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</si>
  <si>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</si>
  <si>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</si>
  <si>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</si>
  <si>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</si>
  <si>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</si>
  <si>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</si>
  <si>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</si>
  <si>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</si>
  <si>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</si>
  <si>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</si>
  <si>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</si>
  <si>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</si>
  <si>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</si>
  <si>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</si>
  <si>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</si>
  <si>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</si>
  <si>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</si>
  <si>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</si>
  <si>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</si>
  <si>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</si>
  <si>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</si>
  <si>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</si>
  <si>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</si>
  <si>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</si>
  <si>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</si>
  <si>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</si>
  <si>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</si>
  <si>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</si>
  <si>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</si>
  <si>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</si>
  <si>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</si>
  <si>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</si>
  <si>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</si>
  <si>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</si>
  <si>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</si>
  <si>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</si>
  <si>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</si>
  <si>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</si>
  <si>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</si>
  <si>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</si>
  <si>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</si>
  <si>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</si>
  <si>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</si>
  <si>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</si>
  <si>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</si>
  <si>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</si>
  <si>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</si>
  <si>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</si>
  <si>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</si>
  <si>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</si>
  <si>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</si>
  <si>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</si>
  <si>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</si>
  <si>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</si>
  <si>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</si>
  <si>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</si>
  <si>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</si>
  <si>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</si>
  <si>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</si>
  <si>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</si>
  <si>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</si>
  <si>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</si>
  <si>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</si>
  <si>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</si>
  <si>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</si>
  <si>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</si>
  <si>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</si>
  <si>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</si>
  <si>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</si>
  <si>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</si>
  <si>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</si>
  <si>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</si>
  <si>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</si>
  <si>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</si>
  <si>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</si>
  <si>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</si>
  <si>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</si>
  <si>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</si>
  <si>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</si>
  <si>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</si>
  <si>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</si>
  <si>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</si>
  <si>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</si>
  <si>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</si>
  <si>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</si>
  <si>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</si>
  <si>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</si>
  <si>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</si>
  <si>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</si>
  <si>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</si>
  <si>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</si>
  <si>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</si>
  <si>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</si>
  <si>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</si>
  <si>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</si>
  <si>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</si>
  <si>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</si>
  <si>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</si>
  <si>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</si>
  <si>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</si>
  <si>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</si>
  <si>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</si>
  <si>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</si>
  <si>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</si>
  <si>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</si>
  <si>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</si>
  <si>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</si>
  <si>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</si>
  <si>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</si>
  <si>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</si>
  <si>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</si>
  <si>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</si>
  <si>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</si>
  <si>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</si>
  <si>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</si>
  <si>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</si>
  <si>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</si>
  <si>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</si>
  <si>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</si>
  <si>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</si>
  <si>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</si>
  <si>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</si>
  <si>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</si>
  <si>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</si>
  <si>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</si>
  <si>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</si>
  <si>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</si>
  <si>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</si>
  <si>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</si>
  <si>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</si>
  <si>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</si>
  <si>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</si>
  <si>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</si>
  <si>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</si>
  <si>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</si>
  <si>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</si>
  <si>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</si>
  <si>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</si>
  <si>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</si>
  <si>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</si>
  <si>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</si>
  <si>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</si>
  <si>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</si>
  <si>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</si>
  <si>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</si>
  <si>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</si>
  <si>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</si>
  <si>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</si>
  <si>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</si>
  <si>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</si>
  <si>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</si>
  <si>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</si>
  <si>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</si>
  <si>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</si>
  <si>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</si>
  <si>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</si>
  <si>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</si>
  <si>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</si>
  <si>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</si>
  <si>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</si>
  <si>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</si>
  <si>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</si>
  <si>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</si>
  <si>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</si>
  <si>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</si>
  <si>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</si>
  <si>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</si>
  <si>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</si>
  <si>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</si>
  <si>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</si>
  <si>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</si>
  <si>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</si>
  <si>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</si>
  <si>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</si>
  <si>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</si>
  <si>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</si>
  <si>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</si>
  <si>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</si>
  <si>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</si>
  <si>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</si>
  <si>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</si>
  <si>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</si>
  <si>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</si>
  <si>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</si>
  <si>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</si>
  <si>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</si>
  <si>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</si>
  <si>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</si>
  <si>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</si>
  <si>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</si>
  <si>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</si>
  <si>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</si>
  <si>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</si>
  <si>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</si>
  <si>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</si>
  <si>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</si>
  <si>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</si>
  <si>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</si>
  <si>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</si>
  <si>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</si>
  <si>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</si>
  <si>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</si>
  <si>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</si>
  <si>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</si>
  <si>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</si>
  <si>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</si>
  <si>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</si>
  <si>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</si>
  <si>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</si>
  <si>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</si>
  <si>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</si>
  <si>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</si>
  <si>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</si>
  <si>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</si>
  <si>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</si>
  <si>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</si>
  <si>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</si>
  <si>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</si>
  <si>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</si>
  <si>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</si>
  <si>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</si>
  <si>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</si>
  <si>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</si>
  <si>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</si>
  <si>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</si>
  <si>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</si>
  <si>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</si>
  <si>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</si>
  <si>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</si>
  <si>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</si>
  <si>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</si>
  <si>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</si>
  <si>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</si>
  <si>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</si>
  <si>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</si>
  <si>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</si>
  <si>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</si>
  <si>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</si>
  <si>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</si>
  <si>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</si>
  <si>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</si>
  <si>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</si>
  <si>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</si>
  <si>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</si>
  <si>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</si>
  <si>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</si>
  <si>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</si>
  <si>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</si>
  <si>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</si>
  <si>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</si>
  <si>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</si>
  <si>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</si>
  <si>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</si>
  <si>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</si>
  <si>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</si>
  <si>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</si>
  <si>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</si>
  <si>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</si>
  <si>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</si>
  <si>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</si>
  <si>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</si>
  <si>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</si>
  <si>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</si>
  <si>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</si>
  <si>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</si>
  <si>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</si>
  <si>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</si>
  <si>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</si>
  <si>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</si>
  <si>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</si>
  <si>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</si>
  <si>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</si>
  <si>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</si>
  <si>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</si>
  <si>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</si>
  <si>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</si>
  <si>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</si>
  <si>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</si>
  <si>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</si>
  <si>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</si>
  <si>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</si>
  <si>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</si>
  <si>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</si>
  <si>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</si>
  <si>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</si>
  <si>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</si>
  <si>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</si>
  <si>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</si>
  <si>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</si>
  <si>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</si>
  <si>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</si>
  <si>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</si>
  <si>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</si>
  <si>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</si>
  <si>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</si>
  <si>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</si>
  <si>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</si>
  <si>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</si>
  <si>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</si>
  <si>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</si>
  <si>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</si>
  <si>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</si>
  <si>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</si>
  <si>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</si>
  <si>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</si>
  <si>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</si>
  <si>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</si>
  <si>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</si>
  <si>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</si>
  <si>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</si>
  <si>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</si>
  <si>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</si>
  <si>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</si>
  <si>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</si>
  <si>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</si>
  <si>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</si>
  <si>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</si>
  <si>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</si>
  <si>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</si>
  <si>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</si>
  <si>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</si>
  <si>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</si>
  <si>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</si>
  <si>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</si>
  <si>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</si>
  <si>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</si>
  <si>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</si>
  <si>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</si>
  <si>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</si>
  <si>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</si>
  <si>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</si>
  <si>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</si>
  <si>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</si>
  <si>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</si>
  <si>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</si>
  <si>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</si>
  <si>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</si>
  <si>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</si>
  <si>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</si>
  <si>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</si>
  <si>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</si>
  <si>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</si>
  <si>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</si>
  <si>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</si>
  <si>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</si>
  <si>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</si>
  <si>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</si>
  <si>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</si>
  <si>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</si>
  <si>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</si>
  <si>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</si>
  <si>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</si>
  <si>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</si>
  <si>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</si>
  <si>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</si>
  <si>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</si>
  <si>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</si>
  <si>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</si>
  <si>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</si>
  <si>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</si>
  <si>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</si>
  <si>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</si>
  <si>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</si>
  <si>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</si>
  <si>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</si>
  <si>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</si>
  <si>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</si>
  <si>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</si>
  <si>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</si>
  <si>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</si>
  <si>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</si>
  <si>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</si>
  <si>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</si>
  <si>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</si>
  <si>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</si>
  <si>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</si>
  <si>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</si>
  <si>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</si>
  <si>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</si>
  <si>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</si>
  <si>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</si>
  <si>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</si>
  <si>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</si>
  <si>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</si>
  <si>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</si>
  <si>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</si>
  <si>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</si>
  <si>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</si>
  <si>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</si>
  <si>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</si>
  <si>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</si>
  <si>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</si>
  <si>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</si>
  <si>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</si>
  <si>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</si>
  <si>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</si>
  <si>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</si>
  <si>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</si>
  <si>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</si>
  <si>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</si>
  <si>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</si>
  <si>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</si>
  <si>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</si>
  <si>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</si>
  <si>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</si>
  <si>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</si>
  <si>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</si>
  <si>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</si>
  <si>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</si>
  <si>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</si>
  <si>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</si>
  <si>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</si>
  <si>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</si>
  <si>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</si>
  <si>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</si>
  <si>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</si>
  <si>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</si>
  <si>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</si>
  <si>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</si>
  <si>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</si>
  <si>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</si>
  <si>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</si>
  <si>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</si>
  <si>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</si>
  <si>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</si>
  <si>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</si>
  <si>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</si>
  <si>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</si>
  <si>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</si>
  <si>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</si>
  <si>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</si>
  <si>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</si>
  <si>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</si>
  <si>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</si>
  <si>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</si>
  <si>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</si>
  <si>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</si>
  <si>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</si>
  <si>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</si>
  <si>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</si>
  <si>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</si>
  <si>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</si>
  <si>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</si>
  <si>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</si>
  <si>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</si>
  <si>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</si>
  <si>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</si>
  <si>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</si>
  <si>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</si>
  <si>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</si>
  <si>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</si>
  <si>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</si>
  <si>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</si>
  <si>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</si>
  <si>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</si>
  <si>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</si>
  <si>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</si>
  <si>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</si>
  <si>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</si>
  <si>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</si>
  <si>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</si>
  <si>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</si>
  <si>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</si>
  <si>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</si>
  <si>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</si>
  <si>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</si>
  <si>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</si>
  <si>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</si>
  <si>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</si>
  <si>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</si>
  <si>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</si>
  <si>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</si>
  <si>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</si>
  <si>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</si>
  <si>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</si>
  <si>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</si>
  <si>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</si>
  <si>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</si>
  <si>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</si>
  <si>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</si>
  <si>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</si>
  <si>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</si>
  <si>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</si>
  <si>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</si>
  <si>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</si>
  <si>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</si>
  <si>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</si>
  <si>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</si>
  <si>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</si>
  <si>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</si>
  <si>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</si>
  <si>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</si>
  <si>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</si>
  <si>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</si>
  <si>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</si>
  <si>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</si>
  <si>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</si>
  <si>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</si>
  <si>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</si>
  <si>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</si>
  <si>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</si>
  <si>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</si>
  <si>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</si>
  <si>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</si>
  <si>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</si>
  <si>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</si>
  <si>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</si>
  <si>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</si>
  <si>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</si>
  <si>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</si>
  <si>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</si>
  <si>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</si>
  <si>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</si>
  <si>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</si>
  <si>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</si>
  <si>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</si>
  <si>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</si>
  <si>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</si>
  <si>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</si>
  <si>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</si>
  <si>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</si>
  <si>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</si>
  <si>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</si>
  <si>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</si>
  <si>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</si>
  <si>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</si>
  <si>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</si>
  <si>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</si>
  <si>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</si>
  <si>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</si>
  <si>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</si>
  <si>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</si>
  <si>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</si>
  <si>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</si>
  <si>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</si>
  <si>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</si>
  <si>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</si>
  <si>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</si>
  <si>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</si>
  <si>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</si>
  <si>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</si>
  <si>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</si>
  <si>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</si>
  <si>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</si>
  <si>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</si>
  <si>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</si>
  <si>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</si>
  <si>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</si>
  <si>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</si>
  <si>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</si>
  <si>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</si>
  <si>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</si>
  <si>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</si>
  <si>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</si>
  <si>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</si>
  <si>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</si>
  <si>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</si>
  <si>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</si>
  <si>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</si>
  <si>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</si>
  <si>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</si>
  <si>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</si>
  <si>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</si>
  <si>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</si>
  <si>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</si>
  <si>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</si>
  <si>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</si>
  <si>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</si>
  <si>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</si>
  <si>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</si>
  <si>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</si>
  <si>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</si>
  <si>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</si>
  <si>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</si>
  <si>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</si>
  <si>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</si>
  <si>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</si>
  <si>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</si>
  <si>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</si>
  <si>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</si>
  <si>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</si>
  <si>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</si>
  <si>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</si>
  <si>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</si>
  <si>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</si>
  <si>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</si>
  <si>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</si>
  <si>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</si>
  <si>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</si>
  <si>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</si>
  <si>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</si>
  <si>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</si>
  <si>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</si>
  <si>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</si>
  <si>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</si>
  <si>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</si>
  <si>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</si>
  <si>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</si>
  <si>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</si>
  <si>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</si>
  <si>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</si>
  <si>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</si>
  <si>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</si>
  <si>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</si>
  <si>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</si>
  <si>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</si>
  <si>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</si>
  <si>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</si>
  <si>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</si>
  <si>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</si>
  <si>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</si>
  <si>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</si>
  <si>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</si>
  <si>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</si>
  <si>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</si>
  <si>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</si>
  <si>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</si>
  <si>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</si>
  <si>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</si>
  <si>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</si>
  <si>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</si>
  <si>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</si>
  <si>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</si>
  <si>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</si>
  <si>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</si>
  <si>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</si>
  <si>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</si>
  <si>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</si>
  <si>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</si>
  <si>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</si>
  <si>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</si>
  <si>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</si>
  <si>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</si>
  <si>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</si>
  <si>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</si>
  <si>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</si>
  <si>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</si>
  <si>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</si>
  <si>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</si>
  <si>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</si>
  <si>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</si>
  <si>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</si>
  <si>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</si>
  <si>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</si>
  <si>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</si>
  <si>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</si>
  <si>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</si>
  <si>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</si>
  <si>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</si>
  <si>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</si>
  <si>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</si>
  <si>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</si>
  <si>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</si>
  <si>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</si>
  <si>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</si>
  <si>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</si>
  <si>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</si>
  <si>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</si>
  <si>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</si>
  <si>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</si>
  <si>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</si>
  <si>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</si>
  <si>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</si>
  <si>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</si>
  <si>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</si>
  <si>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</si>
  <si>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</si>
  <si>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</si>
  <si>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</si>
  <si>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</si>
  <si>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</si>
  <si>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</si>
  <si>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</si>
  <si>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</si>
  <si>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</si>
  <si>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</si>
  <si>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</si>
  <si>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</si>
  <si>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</si>
  <si>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</si>
  <si>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</si>
  <si>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</si>
  <si>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</si>
  <si>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</si>
  <si>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</si>
  <si>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</si>
  <si>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</si>
  <si>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</si>
  <si>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</si>
  <si>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</si>
  <si>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</si>
  <si>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</si>
  <si>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</si>
  <si>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</si>
  <si>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</si>
  <si>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</si>
  <si>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</si>
  <si>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</si>
  <si>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</si>
  <si>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</si>
  <si>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</si>
  <si>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</si>
  <si>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</si>
  <si>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</si>
  <si>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</si>
  <si>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</si>
  <si>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</si>
  <si>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</si>
  <si>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</si>
  <si>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</si>
  <si>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</si>
  <si>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</si>
  <si>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</si>
  <si>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</si>
  <si>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</si>
  <si>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</si>
  <si>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</si>
  <si>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</si>
  <si>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</si>
  <si>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</si>
  <si>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</si>
  <si>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</si>
  <si>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</si>
  <si>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</si>
  <si>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</si>
  <si>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</si>
  <si>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</si>
  <si>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</si>
  <si>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</si>
  <si>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</si>
  <si>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</si>
  <si>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</si>
  <si>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</si>
  <si>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</si>
  <si>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</si>
  <si>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</si>
  <si>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</si>
  <si>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</si>
  <si>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</si>
  <si>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</si>
  <si>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</si>
  <si>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</si>
  <si>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</si>
  <si>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</si>
  <si>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</si>
  <si>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</si>
  <si>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</si>
  <si>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</si>
  <si>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</si>
  <si>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</si>
  <si>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</si>
  <si>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</si>
  <si>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</si>
  <si>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</si>
  <si>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</si>
  <si>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</si>
  <si>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</si>
  <si>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</si>
  <si>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</si>
  <si>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</si>
  <si>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</si>
  <si>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</si>
  <si>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</si>
  <si>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</si>
  <si>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</si>
  <si>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</si>
  <si>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</si>
  <si>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</si>
  <si>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</si>
  <si>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</si>
  <si>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</si>
  <si>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</si>
  <si>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</si>
  <si>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</si>
  <si>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</si>
  <si>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</si>
  <si>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</si>
  <si>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</si>
  <si>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</si>
  <si>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</si>
  <si>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</si>
  <si>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</si>
  <si>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</si>
  <si>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</si>
  <si>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</si>
  <si>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</si>
  <si>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</si>
  <si>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</si>
  <si>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</si>
  <si>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</si>
  <si>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</si>
  <si>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</si>
  <si>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</si>
  <si>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</si>
  <si>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</si>
  <si>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</si>
  <si>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</si>
  <si>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</si>
  <si>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</si>
  <si>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</si>
  <si>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</si>
  <si>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</si>
  <si>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</si>
  <si>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</si>
  <si>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</si>
  <si>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</si>
  <si>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</si>
  <si>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</si>
  <si>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</si>
  <si>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</si>
  <si>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</si>
  <si>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</si>
  <si>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</si>
  <si>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</si>
  <si>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</si>
  <si>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</si>
  <si>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</si>
  <si>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</si>
  <si>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</si>
  <si>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</si>
  <si>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</si>
  <si>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</si>
  <si>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</si>
  <si>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</si>
  <si>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</si>
  <si>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</si>
  <si>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</si>
  <si>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</si>
  <si>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</si>
  <si>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</si>
  <si>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</si>
  <si>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</si>
  <si>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</si>
  <si>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</si>
  <si>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</si>
  <si>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</si>
  <si>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</si>
  <si>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</si>
  <si>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</si>
  <si>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</si>
  <si>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</si>
  <si>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</si>
  <si>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</si>
  <si>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</si>
  <si>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</si>
  <si>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</si>
  <si>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</si>
  <si>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</si>
  <si>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</si>
  <si>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</si>
  <si>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</si>
  <si>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</si>
  <si>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</si>
  <si>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</si>
  <si>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</si>
  <si>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</si>
  <si>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</si>
  <si>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</si>
  <si>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</si>
  <si>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</si>
  <si>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</si>
  <si>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</si>
  <si>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</si>
  <si>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</si>
  <si>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</si>
  <si>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</si>
  <si>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</si>
  <si>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</si>
  <si>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</si>
  <si>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</si>
  <si>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</si>
  <si>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</si>
  <si>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</si>
  <si>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</si>
  <si>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</si>
  <si>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</si>
  <si>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</si>
  <si>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</si>
  <si>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</si>
  <si>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</si>
  <si>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</si>
  <si>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</si>
  <si>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</si>
  <si>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</si>
  <si>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</si>
  <si>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</si>
  <si>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</si>
  <si>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</si>
  <si>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</si>
  <si>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</si>
  <si>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</si>
  <si>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</si>
  <si>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</si>
  <si>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</si>
  <si>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</si>
  <si>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</si>
  <si>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</si>
  <si>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</si>
  <si>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</si>
  <si>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</si>
  <si>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</si>
  <si>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</si>
  <si>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</si>
  <si>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</si>
  <si>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</si>
  <si>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</si>
  <si>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</si>
  <si>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</si>
  <si>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</si>
  <si>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</si>
  <si>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</si>
  <si>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</si>
  <si>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</si>
  <si>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</si>
  <si>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</si>
  <si>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</si>
  <si>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</si>
  <si>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</si>
  <si>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</si>
  <si>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</si>
  <si>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</si>
  <si>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</si>
  <si>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</si>
  <si>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</si>
  <si>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</si>
  <si>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</si>
  <si>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</si>
  <si>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</si>
  <si>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</si>
  <si>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</si>
  <si>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</si>
  <si>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</si>
  <si>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</si>
  <si>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</si>
  <si>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</si>
  <si>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</si>
  <si>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</si>
  <si>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</si>
  <si>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</si>
  <si>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</si>
  <si>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</si>
  <si>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</si>
  <si>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</si>
  <si>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</si>
  <si>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</si>
  <si>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</si>
  <si>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</si>
  <si>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</si>
  <si>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</si>
  <si>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</si>
  <si>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</si>
  <si>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</si>
  <si>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</si>
  <si>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</si>
  <si>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</si>
  <si>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</si>
  <si>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</si>
  <si>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</si>
  <si>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</si>
  <si>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</si>
  <si>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</si>
  <si>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</si>
  <si>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</si>
  <si>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</si>
  <si>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</si>
  <si>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</si>
  <si>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</si>
  <si>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</si>
  <si>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</si>
  <si>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</si>
  <si>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</si>
  <si>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</si>
  <si>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</si>
  <si>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</si>
  <si>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</si>
  <si>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</si>
  <si>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</si>
  <si>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</si>
  <si>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</si>
  <si>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</si>
  <si>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</si>
  <si>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</si>
  <si>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</si>
  <si>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</si>
  <si>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</si>
  <si>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</si>
  <si>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</si>
  <si>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</si>
  <si>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</si>
  <si>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</si>
  <si>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</si>
  <si>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</si>
  <si>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</si>
  <si>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</si>
  <si>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</si>
  <si>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</si>
  <si>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</si>
  <si>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</si>
  <si>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</si>
  <si>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</si>
  <si>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</si>
  <si>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</si>
  <si>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</si>
  <si>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</si>
  <si>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</si>
  <si>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</si>
  <si>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</si>
  <si>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</si>
  <si>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</si>
  <si>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</si>
  <si>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</si>
  <si>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</si>
  <si>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</si>
  <si>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</si>
  <si>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</si>
  <si>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</si>
  <si>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</si>
  <si>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</si>
  <si>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</si>
  <si>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</si>
  <si>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</si>
  <si>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</si>
  <si>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</si>
  <si>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</si>
  <si>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</si>
  <si>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</si>
  <si>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</si>
  <si>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</si>
  <si>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</si>
  <si>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</si>
  <si>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</si>
  <si>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</si>
  <si>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</si>
  <si>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</si>
  <si>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</si>
  <si>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</si>
  <si>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</si>
  <si>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</si>
  <si>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</si>
  <si>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</si>
  <si>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</si>
  <si>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</si>
  <si>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</si>
  <si>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</si>
  <si>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</si>
  <si>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</si>
  <si>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</si>
  <si>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</si>
  <si>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</si>
  <si>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</si>
  <si>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</si>
  <si>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</si>
  <si>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</si>
  <si>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</si>
  <si>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</si>
  <si>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</si>
  <si>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</si>
  <si>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</si>
  <si>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</si>
  <si>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</si>
  <si>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</si>
  <si>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</si>
  <si>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</si>
  <si>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</si>
  <si>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</si>
  <si>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</si>
  <si>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</si>
  <si>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</si>
  <si>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</si>
  <si>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</si>
  <si>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</si>
  <si>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</si>
  <si>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</si>
  <si>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</si>
  <si>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</si>
  <si>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</si>
  <si>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</si>
  <si>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</si>
  <si>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</si>
  <si>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</si>
  <si>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</si>
  <si>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</si>
  <si>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</si>
  <si>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</si>
  <si>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</si>
  <si>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</si>
  <si>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</si>
  <si>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</si>
  <si>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</si>
  <si>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</si>
  <si>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</si>
  <si>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</si>
  <si>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</si>
  <si>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</si>
  <si>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</si>
  <si>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</si>
  <si>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</si>
  <si>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</si>
  <si>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</si>
  <si>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</si>
  <si>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</si>
  <si>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</si>
  <si>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</si>
  <si>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</si>
  <si>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</si>
  <si>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</si>
  <si>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</si>
  <si>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</si>
  <si>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</si>
  <si>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</si>
  <si>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</si>
  <si>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</si>
  <si>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</si>
  <si>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</si>
  <si>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</si>
  <si>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</si>
  <si>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</si>
  <si>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</si>
  <si>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</si>
  <si>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</si>
  <si>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</si>
  <si>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</si>
  <si>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</si>
  <si>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</si>
  <si>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</si>
  <si>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</si>
  <si>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</si>
  <si>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</si>
  <si>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</si>
  <si>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</si>
  <si>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</si>
  <si>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</si>
  <si>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</si>
  <si>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</si>
  <si>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</si>
  <si>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</si>
  <si>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</si>
  <si>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</si>
  <si>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</si>
  <si>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</si>
  <si>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</si>
  <si>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</si>
  <si>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</si>
  <si>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</si>
  <si>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</si>
  <si>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</si>
  <si>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</si>
  <si>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</si>
  <si>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</si>
  <si>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</si>
  <si>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</si>
  <si>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</si>
  <si>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</si>
  <si>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</si>
  <si>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</si>
  <si>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</si>
  <si>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</si>
  <si>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</si>
  <si>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</si>
  <si>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</si>
  <si>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</si>
  <si>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</si>
  <si>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</si>
  <si>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</si>
  <si>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</si>
  <si>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</si>
  <si>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</si>
  <si>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</si>
  <si>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</si>
  <si>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</si>
  <si>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</si>
  <si>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</si>
  <si>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</si>
  <si>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</si>
  <si>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</si>
  <si>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</si>
  <si>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</si>
  <si>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</si>
  <si>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</si>
  <si>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</si>
  <si>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</si>
  <si>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</si>
  <si>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</si>
  <si>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</si>
  <si>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</si>
  <si>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</si>
  <si>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</si>
  <si>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</si>
  <si>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</si>
  <si>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</si>
  <si>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</si>
  <si>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</si>
  <si>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</si>
  <si>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</si>
  <si>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</si>
  <si>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</si>
  <si>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</si>
  <si>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</si>
  <si>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</si>
  <si>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</si>
  <si>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</si>
  <si>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</si>
  <si>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</si>
  <si>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</si>
  <si>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</si>
  <si>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</si>
  <si>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</si>
  <si>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</si>
  <si>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</si>
  <si>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</si>
  <si>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</si>
  <si>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</si>
  <si>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</si>
  <si>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</si>
  <si>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</si>
  <si>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</si>
  <si>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</si>
  <si>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</si>
  <si>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</si>
  <si>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</si>
  <si>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</si>
  <si>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</si>
  <si>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</si>
  <si>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</si>
  <si>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</si>
  <si>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</si>
  <si>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</si>
  <si>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</si>
  <si>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</si>
  <si>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</si>
  <si>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</si>
  <si>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</si>
  <si>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</si>
  <si>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</si>
  <si>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</si>
  <si>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</si>
  <si>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</si>
  <si>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</si>
  <si>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</si>
  <si>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</si>
  <si>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</si>
  <si>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</si>
  <si>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</si>
  <si>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</si>
  <si>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</si>
  <si>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</si>
  <si>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</si>
  <si>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</si>
  <si>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</si>
  <si>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</si>
  <si>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</si>
  <si>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</si>
  <si>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</si>
  <si>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</si>
  <si>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</si>
  <si>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</si>
  <si>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</si>
  <si>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</si>
  <si>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</si>
  <si>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</si>
  <si>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</si>
  <si>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</si>
  <si>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</si>
  <si>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</si>
  <si>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</si>
  <si>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</si>
  <si>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</si>
  <si>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</si>
  <si>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</si>
  <si>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</si>
  <si>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</si>
  <si>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</si>
  <si>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</si>
  <si>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</si>
  <si>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</si>
  <si>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</si>
  <si>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</si>
  <si>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</si>
  <si>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</si>
  <si>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</si>
  <si>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</si>
  <si>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</si>
  <si>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</si>
  <si>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</si>
  <si>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</si>
  <si>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</si>
  <si>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</si>
  <si>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</si>
  <si>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</si>
  <si>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</si>
  <si>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</si>
  <si>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</si>
  <si>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</si>
  <si>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</si>
  <si>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</si>
  <si>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</si>
  <si>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</si>
  <si>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</si>
  <si>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</si>
  <si>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</si>
  <si>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</si>
  <si>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</si>
  <si>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</si>
  <si>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</si>
  <si>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</si>
  <si>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</si>
  <si>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</si>
  <si>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</si>
  <si>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</si>
  <si>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</si>
  <si>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</si>
  <si>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</si>
  <si>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</si>
  <si>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</si>
  <si>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</si>
  <si>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</si>
  <si>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</si>
  <si>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</si>
  <si>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</si>
  <si>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</si>
  <si>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</si>
  <si>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</si>
  <si>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</si>
  <si>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</si>
  <si>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</si>
  <si>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</si>
  <si>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</si>
  <si>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</si>
  <si>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</si>
  <si>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</si>
  <si>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</si>
  <si>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</si>
  <si>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</si>
  <si>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</si>
  <si>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</si>
  <si>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</si>
  <si>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</si>
  <si>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</si>
  <si>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</si>
  <si>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</si>
  <si>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</si>
  <si>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</si>
  <si>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</si>
  <si>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</si>
  <si>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</si>
  <si>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</si>
  <si>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</si>
  <si>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</si>
  <si>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</si>
  <si>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</si>
  <si>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</si>
  <si>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</si>
  <si>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</si>
  <si>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</si>
  <si>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</si>
  <si>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</si>
  <si>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</si>
  <si>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</si>
  <si>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</si>
  <si>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</si>
  <si>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</si>
  <si>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</si>
  <si>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</si>
  <si>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</si>
  <si>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</si>
  <si>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</si>
  <si>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</si>
  <si>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</si>
  <si>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</si>
  <si>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</si>
  <si>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</si>
  <si>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</si>
  <si>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</si>
  <si>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</si>
  <si>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</si>
  <si>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</si>
  <si>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</si>
  <si>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</si>
  <si>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</si>
  <si>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</si>
  <si>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</si>
  <si>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</si>
  <si>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</si>
  <si>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</si>
  <si>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</si>
  <si>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</si>
  <si>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</si>
  <si>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</si>
  <si>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</si>
  <si>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</si>
  <si>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</si>
  <si>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</si>
  <si>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</si>
  <si>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</si>
  <si>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</si>
  <si>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</si>
  <si>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</si>
  <si>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</si>
  <si>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</si>
  <si>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</si>
  <si>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</si>
  <si>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</si>
  <si>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</si>
  <si>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</si>
  <si>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</si>
  <si>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</si>
  <si>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</si>
  <si>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</si>
  <si>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</si>
  <si>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</si>
  <si>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</si>
  <si>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</si>
  <si>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</si>
  <si>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</si>
  <si>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</si>
  <si>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</si>
  <si>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</si>
  <si>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</si>
  <si>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</si>
  <si>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</si>
  <si>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</si>
  <si>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</si>
  <si>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</si>
  <si>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</si>
  <si>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</si>
  <si>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</si>
  <si>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</si>
  <si>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</si>
  <si>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</si>
  <si>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</si>
  <si>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</si>
  <si>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</si>
  <si>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</si>
  <si>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</si>
  <si>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</si>
  <si>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</si>
  <si>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</si>
  <si>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</si>
  <si>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</si>
  <si>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</si>
  <si>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</si>
  <si>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</si>
  <si>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</si>
  <si>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</si>
  <si>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</si>
  <si>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</si>
  <si>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</si>
  <si>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</si>
  <si>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</si>
  <si>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</si>
  <si>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</si>
  <si>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</si>
  <si>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</si>
  <si>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</si>
  <si>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</si>
  <si>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</si>
  <si>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</si>
  <si>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</si>
  <si>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</si>
  <si>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</si>
  <si>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</si>
  <si>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</si>
  <si>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</si>
  <si>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</si>
  <si>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</si>
  <si>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</si>
  <si>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</si>
  <si>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</si>
  <si>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</si>
  <si>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</si>
  <si>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</si>
  <si>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</si>
  <si>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</si>
  <si>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</si>
  <si>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</si>
  <si>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</si>
  <si>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</si>
  <si>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</si>
  <si>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</si>
  <si>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</si>
  <si>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</si>
  <si>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</si>
  <si>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</si>
  <si>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</si>
  <si>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</si>
  <si>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</si>
  <si>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</si>
  <si>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</si>
  <si>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</si>
  <si>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</si>
  <si>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</si>
  <si>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</si>
  <si>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</si>
  <si>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</si>
  <si>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</si>
  <si>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</si>
  <si>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</si>
  <si>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</si>
  <si>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</si>
  <si>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</si>
  <si>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</si>
  <si>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</si>
  <si>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</si>
  <si>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</si>
  <si>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</si>
  <si>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</si>
  <si>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</si>
  <si>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</si>
  <si>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</si>
  <si>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</si>
  <si>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</si>
  <si>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</si>
  <si>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</si>
  <si>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</si>
  <si>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</si>
  <si>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</si>
  <si>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</si>
  <si>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</si>
  <si>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</si>
  <si>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</si>
  <si>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</si>
  <si>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</si>
  <si>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</si>
  <si>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</si>
  <si>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</si>
  <si>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</si>
  <si>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</si>
  <si>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</si>
  <si>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</si>
  <si>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</si>
  <si>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</si>
  <si>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</si>
  <si>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</si>
  <si>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</si>
  <si>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</si>
  <si>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</si>
  <si>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</si>
  <si>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</si>
  <si>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</si>
  <si>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</si>
  <si>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</si>
  <si>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</si>
  <si>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</si>
  <si>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</si>
  <si>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</si>
  <si>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</si>
  <si>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</si>
  <si>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</si>
  <si>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</si>
  <si>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</si>
  <si>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</si>
  <si>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</si>
  <si>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</si>
  <si>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</si>
  <si>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</si>
  <si>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</si>
  <si>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</si>
  <si>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</si>
  <si>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</si>
  <si>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</si>
  <si>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</si>
  <si>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</si>
  <si>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</si>
  <si>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</si>
  <si>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</si>
  <si>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</si>
  <si>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</si>
  <si>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</si>
  <si>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</si>
  <si>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</si>
  <si>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</si>
  <si>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</si>
  <si>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</si>
  <si>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</si>
  <si>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</si>
  <si>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</si>
  <si>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</si>
  <si>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</si>
  <si>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</si>
  <si>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</si>
  <si>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</si>
  <si>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</si>
  <si>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</si>
  <si>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</si>
  <si>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</si>
  <si>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</si>
  <si>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</si>
  <si>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</si>
  <si>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</si>
  <si>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</si>
  <si>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</si>
  <si>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</si>
  <si>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</si>
  <si>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</si>
  <si>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</si>
  <si>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</si>
  <si>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</si>
  <si>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</si>
  <si>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</si>
  <si>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</si>
  <si>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</si>
  <si>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</si>
  <si>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</si>
  <si>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</si>
  <si>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</si>
  <si>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</si>
  <si>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</si>
  <si>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</si>
  <si>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</si>
  <si>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</si>
  <si>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</si>
  <si>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</si>
  <si>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</si>
  <si>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</si>
  <si>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</si>
  <si>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</si>
  <si>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</si>
  <si>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</si>
  <si>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</si>
  <si>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</si>
  <si>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</si>
  <si>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</si>
  <si>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</si>
  <si>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</si>
  <si>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</si>
  <si>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</si>
  <si>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</si>
  <si>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</si>
  <si>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</si>
  <si>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</si>
  <si>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</si>
  <si>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</si>
  <si>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</si>
  <si>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</si>
  <si>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</si>
  <si>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</si>
  <si>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</si>
  <si>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</si>
  <si>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</si>
  <si>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</si>
  <si>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</si>
  <si>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</si>
  <si>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</si>
  <si>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</si>
  <si>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</si>
  <si>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</si>
  <si>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</si>
  <si>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</si>
  <si>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</si>
  <si>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</si>
  <si>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</si>
  <si>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</si>
  <si>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</si>
  <si>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</si>
  <si>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</si>
  <si>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</si>
  <si>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</si>
  <si>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</si>
  <si>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</si>
  <si>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</si>
  <si>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</si>
  <si>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</si>
  <si>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</si>
  <si>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</si>
  <si>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</si>
  <si>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</si>
  <si>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</si>
  <si>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</si>
  <si>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</si>
  <si>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</si>
  <si>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</si>
  <si>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</si>
  <si>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</si>
  <si>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</si>
  <si>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</si>
  <si>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</si>
  <si>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</si>
  <si>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</si>
  <si>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</si>
  <si>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</si>
  <si>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</si>
  <si>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</si>
  <si>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</si>
  <si>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</si>
  <si>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</si>
  <si>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</si>
  <si>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</si>
  <si>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</si>
  <si>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</si>
  <si>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</si>
  <si>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</si>
  <si>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</si>
  <si>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</si>
  <si>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</si>
  <si>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</si>
  <si>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</si>
  <si>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</si>
  <si>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</si>
  <si>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</si>
  <si>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</si>
  <si>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</si>
  <si>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</si>
  <si>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</si>
  <si>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</si>
  <si>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</si>
  <si>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</si>
  <si>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</si>
  <si>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</si>
  <si>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</si>
  <si>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</si>
  <si>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</si>
  <si>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</si>
  <si>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</si>
  <si>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</si>
  <si>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</si>
  <si>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</si>
  <si>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</si>
  <si>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</si>
  <si>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</si>
  <si>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</si>
  <si>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</si>
  <si>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</si>
  <si>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</si>
  <si>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</si>
  <si>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</si>
  <si>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</si>
  <si>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</si>
  <si>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</si>
  <si>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</si>
  <si>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</si>
  <si>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</si>
  <si>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</si>
  <si>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</si>
  <si>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</si>
  <si>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</si>
  <si>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</si>
  <si>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</si>
  <si>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</si>
  <si>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</si>
  <si>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</si>
  <si>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</si>
  <si>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</si>
  <si>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</si>
  <si>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</si>
  <si>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</si>
  <si>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</si>
  <si>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</si>
  <si>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</si>
  <si>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</si>
  <si>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</si>
  <si>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</si>
  <si>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</si>
  <si>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</si>
  <si>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</si>
  <si>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</si>
  <si>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</si>
  <si>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</si>
  <si>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</si>
  <si>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</si>
  <si>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</si>
  <si>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</si>
  <si>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</si>
  <si>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</si>
  <si>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</si>
  <si>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</si>
  <si>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</si>
  <si>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</si>
  <si>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</si>
  <si>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</si>
  <si>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</si>
  <si>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</si>
  <si>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</si>
  <si>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</si>
  <si>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</si>
  <si>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</si>
  <si>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</si>
  <si>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</si>
  <si>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</si>
  <si>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</si>
  <si>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</si>
  <si>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</si>
  <si>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</si>
  <si>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</si>
  <si>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</si>
  <si>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</si>
  <si>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</si>
  <si>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</si>
  <si>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</si>
  <si>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</si>
  <si>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</si>
  <si>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</si>
  <si>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</si>
  <si>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</si>
  <si>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</si>
  <si>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</si>
  <si>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</si>
  <si>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</si>
  <si>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</si>
  <si>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</si>
  <si>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</si>
  <si>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</si>
  <si>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</si>
  <si>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</si>
  <si>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</si>
  <si>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</si>
  <si>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</si>
  <si>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</si>
  <si>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</si>
  <si>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</si>
  <si>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</si>
  <si>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</si>
  <si>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</si>
  <si>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</si>
  <si>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</si>
  <si>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</si>
  <si>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</si>
  <si>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</si>
  <si>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</si>
  <si>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</si>
  <si>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</si>
  <si>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</si>
  <si>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</si>
  <si>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</si>
  <si>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</si>
  <si>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</si>
  <si>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</si>
  <si>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</si>
  <si>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</si>
  <si>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</si>
  <si>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</si>
  <si>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</si>
  <si>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</si>
  <si>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</si>
  <si>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</si>
  <si>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</si>
  <si>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</si>
  <si>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</si>
  <si>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</si>
  <si>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</si>
  <si>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</si>
  <si>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</si>
  <si>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</si>
  <si>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</si>
  <si>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</si>
  <si>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</si>
  <si>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</si>
  <si>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</si>
  <si>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</si>
  <si>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</si>
  <si>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</si>
  <si>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</si>
  <si>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</si>
  <si>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</si>
  <si>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</si>
  <si>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</si>
  <si>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</si>
  <si>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</si>
  <si>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</si>
  <si>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</si>
  <si>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</si>
  <si>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</si>
  <si>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</si>
  <si>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</si>
  <si>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</si>
  <si>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</si>
  <si>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</si>
  <si>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</si>
  <si>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</si>
  <si>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</si>
  <si>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</si>
  <si>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</si>
  <si>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</si>
  <si>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</si>
  <si>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</si>
  <si>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</si>
  <si>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</si>
  <si>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</si>
  <si>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</si>
  <si>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</si>
  <si>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</si>
  <si>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</si>
  <si>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</si>
  <si>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</si>
  <si>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</si>
  <si>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</si>
  <si>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</si>
  <si>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</si>
  <si>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</si>
  <si>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</si>
  <si>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</si>
  <si>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</si>
  <si>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</si>
  <si>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</si>
  <si>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</si>
  <si>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</si>
  <si>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</si>
  <si>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</si>
  <si>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</si>
  <si>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</si>
  <si>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</si>
  <si>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</si>
  <si>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</si>
  <si>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</si>
  <si>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</si>
  <si>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</si>
  <si>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</si>
  <si>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</si>
  <si>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</si>
  <si>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</si>
  <si>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</si>
  <si>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</si>
  <si>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</si>
  <si>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</si>
  <si>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</si>
  <si>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</si>
  <si>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</si>
  <si>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</si>
  <si>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</si>
  <si>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</si>
  <si>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</si>
  <si>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</si>
  <si>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</si>
  <si>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</si>
  <si>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</si>
  <si>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</si>
  <si>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</si>
  <si>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</si>
  <si>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</si>
  <si>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</si>
  <si>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</si>
  <si>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</si>
  <si>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</si>
  <si>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</si>
  <si>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</si>
  <si>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</si>
  <si>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</si>
  <si>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</si>
  <si>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</si>
  <si>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</si>
  <si>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</si>
  <si>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</si>
  <si>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</si>
  <si>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</si>
  <si>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</si>
  <si>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</si>
  <si>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</si>
  <si>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</si>
  <si>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</si>
  <si>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</si>
  <si>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</si>
  <si>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</si>
  <si>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</si>
  <si>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</si>
  <si>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</si>
  <si>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</si>
  <si>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</si>
  <si>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</si>
  <si>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</si>
  <si>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</si>
  <si>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</si>
  <si>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</si>
  <si>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</si>
  <si>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</si>
  <si>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</si>
  <si>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</si>
  <si>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</si>
  <si>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</si>
  <si>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</si>
  <si>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</si>
  <si>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</si>
  <si>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</si>
  <si>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</si>
  <si>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</si>
  <si>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</si>
  <si>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</si>
  <si>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</si>
  <si>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</si>
  <si>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</si>
  <si>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</si>
  <si>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</si>
  <si>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</si>
  <si>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</si>
  <si>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</si>
  <si>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</si>
  <si>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</si>
  <si>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</si>
  <si>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</si>
  <si>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</si>
  <si>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</si>
  <si>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</si>
  <si>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</si>
  <si>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</si>
  <si>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</si>
  <si>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</si>
  <si>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</si>
  <si>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</si>
  <si>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</si>
  <si>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</si>
  <si>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</si>
  <si>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</si>
  <si>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</si>
  <si>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</si>
  <si>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</si>
  <si>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</si>
  <si>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</si>
  <si>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</si>
  <si>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</si>
  <si>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</si>
  <si>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</si>
  <si>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</si>
  <si>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</si>
  <si>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</si>
  <si>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</si>
  <si>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</si>
  <si>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</si>
  <si>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</si>
  <si>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</si>
  <si>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</si>
  <si>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</si>
  <si>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</si>
  <si>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</si>
  <si>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</si>
  <si>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</si>
  <si>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</si>
  <si>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</si>
  <si>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</si>
  <si>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</si>
  <si>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</si>
  <si>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</si>
  <si>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</si>
  <si>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</si>
  <si>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</si>
  <si>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</si>
  <si>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</si>
  <si>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</si>
  <si>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</si>
  <si>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</si>
  <si>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</si>
  <si>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</si>
  <si>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</si>
  <si>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</si>
  <si>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</si>
  <si>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</si>
  <si>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</si>
  <si>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</si>
  <si>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</si>
  <si>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</si>
  <si>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</si>
  <si>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</si>
  <si>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</si>
  <si>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</si>
  <si>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</si>
  <si>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</si>
  <si>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</si>
  <si>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</si>
  <si>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</si>
  <si>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</si>
  <si>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</si>
  <si>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</si>
  <si>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</si>
  <si>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</si>
  <si>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</si>
  <si>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</si>
  <si>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</si>
  <si>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</si>
  <si>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</si>
  <si>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</si>
  <si>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</si>
  <si>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</si>
  <si>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</si>
  <si>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</si>
  <si>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</si>
  <si>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</si>
  <si>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</si>
  <si>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</si>
  <si>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</si>
  <si>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</si>
  <si>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</si>
  <si>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</si>
  <si>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</si>
  <si>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</si>
  <si>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</si>
  <si>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</si>
  <si>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</si>
  <si>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</si>
  <si>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</si>
  <si>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</si>
  <si>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</si>
  <si>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</si>
  <si>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</si>
  <si>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</si>
  <si>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</si>
  <si>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</si>
  <si>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</si>
  <si>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</si>
  <si>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</si>
  <si>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</si>
  <si>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</si>
  <si>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</si>
  <si>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</si>
  <si>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</si>
  <si>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</si>
  <si>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</si>
  <si>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</si>
  <si>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</si>
  <si>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</si>
  <si>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</si>
  <si>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</si>
  <si>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</si>
  <si>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</si>
  <si>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</si>
  <si>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</si>
  <si>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</si>
  <si>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</si>
  <si>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</si>
  <si>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</si>
  <si>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</si>
  <si>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</si>
  <si>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</si>
  <si>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</si>
  <si>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</si>
  <si>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</si>
  <si>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</si>
  <si>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</si>
  <si>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</si>
  <si>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</si>
  <si>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</si>
  <si>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</si>
  <si>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</si>
  <si>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</si>
  <si>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</si>
  <si>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</si>
  <si>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</si>
  <si>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</si>
  <si>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</si>
  <si>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</si>
  <si>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</si>
  <si>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</si>
  <si>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</si>
  <si>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</si>
  <si>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</si>
  <si>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</si>
  <si>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</si>
  <si>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</si>
  <si>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</si>
  <si>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</si>
  <si>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</si>
  <si>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</si>
  <si>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</si>
  <si>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</si>
  <si>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</si>
  <si>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</si>
  <si>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</si>
  <si>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</si>
  <si>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</si>
  <si>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</si>
  <si>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</si>
  <si>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</si>
  <si>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</si>
  <si>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</si>
  <si>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</si>
  <si>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</si>
  <si>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</si>
  <si>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</si>
  <si>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</si>
  <si>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</si>
  <si>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</si>
  <si>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</si>
  <si>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</si>
  <si>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</si>
  <si>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</si>
  <si>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</si>
  <si>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</si>
  <si>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</si>
  <si>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</si>
  <si>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</si>
  <si>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</si>
  <si>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</si>
  <si>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</si>
  <si>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</si>
  <si>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</si>
  <si>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</si>
  <si>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</si>
  <si>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</si>
  <si>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</si>
  <si>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</si>
  <si>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</si>
  <si>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</si>
  <si>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</si>
  <si>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</si>
  <si>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</si>
  <si>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</si>
  <si>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</si>
  <si>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</si>
  <si>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</si>
  <si>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</si>
  <si>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</si>
  <si>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</si>
  <si>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</si>
  <si>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</si>
  <si>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</si>
  <si>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</si>
  <si>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</si>
  <si>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</si>
  <si>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</si>
  <si>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</si>
  <si>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</si>
  <si>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</si>
  <si>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</si>
  <si>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</si>
  <si>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</si>
  <si>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</si>
  <si>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</si>
  <si>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</si>
  <si>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</si>
  <si>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</si>
  <si>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</si>
  <si>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</si>
  <si>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</si>
  <si>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</si>
  <si>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</si>
  <si>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</si>
  <si>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</si>
  <si>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</si>
  <si>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</si>
  <si>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</si>
  <si>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</si>
  <si>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</si>
  <si>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</si>
  <si>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</si>
  <si>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</si>
  <si>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</si>
  <si>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</si>
  <si>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</si>
  <si>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</si>
  <si>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</si>
  <si>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</si>
  <si>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</si>
  <si>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</si>
  <si>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</si>
  <si>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</si>
  <si>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</si>
  <si>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</si>
  <si>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</si>
  <si>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</si>
  <si>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</si>
  <si>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</si>
  <si>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</si>
  <si>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</si>
  <si>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</si>
  <si>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</si>
  <si>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</si>
  <si>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</si>
  <si>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</si>
  <si>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</si>
  <si>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</si>
  <si>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</si>
  <si>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</si>
  <si>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</si>
  <si>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</si>
  <si>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</si>
  <si>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</si>
  <si>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</si>
  <si>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</si>
  <si>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</si>
  <si>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</si>
  <si>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</si>
  <si>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</si>
  <si>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</si>
  <si>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</si>
  <si>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</si>
  <si>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</si>
  <si>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</si>
  <si>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</si>
  <si>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</si>
  <si>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</si>
  <si>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</si>
  <si>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</si>
  <si>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</si>
  <si>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</si>
  <si>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</si>
  <si>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</si>
  <si>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</si>
  <si>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</si>
  <si>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</si>
  <si>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</si>
  <si>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</si>
  <si>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</si>
  <si>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</si>
  <si>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</si>
  <si>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</si>
  <si>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</si>
  <si>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</si>
  <si>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</si>
  <si>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</si>
  <si>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</si>
  <si>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</si>
  <si>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</si>
  <si>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</si>
  <si>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</si>
  <si>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</si>
  <si>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</si>
  <si>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</si>
  <si>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</si>
  <si>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</si>
  <si>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</si>
  <si>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</si>
  <si>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</si>
  <si>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</si>
  <si>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</si>
  <si>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</si>
  <si>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</si>
  <si>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</si>
  <si>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</si>
  <si>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</si>
  <si>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</si>
  <si>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</si>
  <si>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</si>
  <si>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</si>
  <si>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</si>
  <si>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</si>
  <si>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</si>
  <si>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</si>
  <si>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</si>
  <si>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</si>
  <si>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</si>
  <si>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</si>
  <si>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</si>
  <si>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</si>
  <si>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</si>
  <si>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</si>
  <si>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</si>
  <si>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</si>
  <si>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</si>
  <si>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</si>
  <si>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</si>
  <si>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</si>
  <si>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</si>
  <si>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</si>
  <si>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</si>
  <si>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</si>
  <si>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</si>
  <si>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</si>
  <si>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</si>
  <si>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</si>
  <si>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</si>
  <si>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</si>
  <si>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</si>
  <si>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</si>
  <si>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</si>
  <si>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</si>
  <si>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</si>
  <si>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</si>
  <si>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</si>
  <si>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</si>
  <si>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</si>
  <si>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</si>
  <si>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</si>
  <si>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</si>
  <si>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</si>
  <si>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</si>
  <si>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</si>
  <si>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</si>
  <si>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</si>
  <si>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</si>
  <si>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</si>
  <si>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</si>
  <si>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</si>
  <si>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</si>
  <si>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</si>
  <si>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</si>
  <si>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</si>
  <si>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</si>
  <si>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</si>
  <si>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</si>
  <si>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</si>
  <si>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</si>
  <si>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</si>
  <si>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</si>
  <si>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</si>
  <si>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</si>
  <si>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</si>
  <si>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</si>
  <si>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</si>
  <si>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</si>
  <si>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</si>
  <si>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</si>
  <si>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</si>
  <si>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</si>
  <si>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</si>
  <si>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</si>
  <si>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</si>
  <si>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</si>
  <si>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</si>
  <si>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</si>
  <si>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</si>
  <si>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</si>
  <si>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</si>
  <si>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</si>
  <si>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</si>
  <si>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</si>
  <si>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</si>
  <si>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</si>
  <si>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</si>
  <si>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</si>
  <si>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</si>
  <si>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</si>
  <si>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</si>
  <si>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</si>
  <si>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</si>
  <si>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</si>
  <si>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</si>
  <si>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</si>
  <si>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</si>
  <si>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</si>
  <si>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</si>
  <si>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</si>
  <si>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</si>
  <si>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</si>
  <si>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</si>
  <si>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</si>
  <si>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</si>
  <si>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</si>
  <si>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</si>
  <si>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</si>
  <si>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</si>
  <si>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</si>
  <si>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</si>
  <si>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</si>
  <si>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</si>
  <si>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</si>
  <si>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</si>
  <si>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</si>
  <si>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</si>
  <si>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</si>
  <si>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</si>
  <si>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</si>
  <si>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</si>
  <si>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</si>
  <si>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</si>
  <si>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</si>
  <si>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</si>
  <si>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</si>
  <si>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</si>
  <si>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</si>
  <si>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</si>
  <si>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</si>
  <si>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</si>
  <si>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</si>
  <si>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</si>
  <si>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</si>
  <si>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</si>
  <si>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</si>
  <si>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</si>
  <si>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</si>
  <si>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</si>
  <si>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</si>
  <si>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</si>
  <si>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</si>
  <si>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</si>
  <si>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</si>
  <si>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</si>
  <si>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</si>
  <si>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</si>
  <si>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</si>
  <si>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</si>
  <si>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</si>
  <si>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</si>
  <si>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</si>
  <si>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</si>
  <si>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</si>
  <si>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</si>
  <si>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</si>
  <si>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</si>
  <si>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</si>
  <si>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</si>
  <si>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</si>
  <si>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</si>
  <si>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</si>
  <si>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</si>
  <si>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</si>
  <si>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</si>
  <si>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</si>
  <si>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</si>
  <si>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</si>
  <si>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</si>
  <si>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</si>
  <si>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</si>
  <si>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</si>
  <si>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</si>
  <si>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</si>
  <si>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</si>
  <si>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</si>
  <si>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</si>
  <si>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</si>
  <si>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</si>
  <si>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</si>
  <si>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</si>
  <si>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</si>
  <si>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</si>
  <si>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</si>
  <si>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</si>
  <si>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</si>
  <si>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</si>
  <si>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</si>
  <si>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</si>
  <si>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</si>
  <si>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</si>
  <si>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</si>
  <si>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</si>
  <si>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</si>
  <si>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</si>
  <si>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</si>
  <si>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</si>
  <si>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</si>
  <si>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</si>
  <si>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</si>
  <si>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</si>
  <si>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</si>
  <si>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</si>
  <si>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</si>
  <si>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</si>
  <si>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</si>
  <si>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</si>
  <si>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</si>
  <si>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</si>
  <si>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</si>
  <si>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</si>
  <si>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</si>
  <si>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</si>
  <si>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</si>
  <si>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</si>
  <si>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</si>
  <si>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</si>
  <si>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</si>
  <si>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</si>
  <si>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</si>
  <si>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</si>
  <si>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</si>
  <si>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</si>
  <si>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</si>
  <si>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</si>
  <si>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</si>
  <si>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</si>
  <si>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</si>
  <si>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</si>
  <si>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</si>
  <si>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</si>
  <si>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</si>
  <si>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</si>
  <si>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</si>
  <si>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</si>
  <si>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</si>
  <si>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</si>
  <si>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</si>
  <si>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</si>
  <si>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</si>
  <si>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</si>
  <si>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</si>
  <si>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</si>
  <si>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</si>
  <si>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</si>
  <si>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</si>
  <si>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</si>
  <si>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</si>
  <si>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</si>
  <si>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</si>
  <si>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</si>
  <si>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</si>
  <si>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</si>
  <si>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</si>
  <si>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</si>
  <si>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</si>
  <si>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</si>
  <si>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</si>
  <si>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</si>
  <si>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</si>
  <si>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</si>
  <si>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</si>
  <si>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</si>
  <si>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</si>
  <si>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</si>
  <si>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</si>
  <si>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</si>
  <si>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</si>
  <si>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</si>
  <si>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</si>
  <si>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</si>
  <si>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</si>
  <si>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</si>
  <si>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</si>
  <si>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</si>
  <si>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</si>
  <si>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</si>
  <si>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</si>
  <si>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</si>
  <si>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</si>
  <si>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</si>
  <si>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</si>
  <si>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</si>
  <si>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</si>
  <si>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</si>
  <si>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</si>
  <si>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</si>
  <si>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</si>
  <si>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</si>
  <si>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</si>
  <si>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</si>
  <si>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</si>
  <si>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</si>
  <si>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</si>
  <si>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</si>
  <si>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</si>
  <si>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</si>
  <si>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</si>
  <si>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</si>
  <si>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</si>
  <si>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</si>
  <si>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</si>
  <si>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</si>
  <si>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</si>
  <si>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</si>
  <si>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</si>
  <si>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</si>
  <si>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</si>
  <si>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</si>
  <si>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</si>
  <si>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</si>
  <si>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</si>
  <si>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</si>
  <si>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</si>
  <si>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</si>
  <si>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</si>
  <si>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</si>
  <si>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</si>
  <si>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</si>
  <si>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</si>
  <si>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</si>
  <si>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</si>
  <si>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</si>
  <si>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</si>
  <si>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</si>
  <si>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</si>
  <si>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</si>
  <si>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</si>
  <si>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</si>
  <si>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</si>
  <si>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</si>
  <si>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</si>
  <si>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</si>
  <si>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</si>
  <si>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</si>
  <si>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</si>
  <si>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</si>
  <si>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</si>
  <si>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</si>
  <si>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</si>
  <si>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</si>
  <si>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</si>
  <si>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</si>
  <si>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</si>
  <si>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</si>
  <si>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</si>
  <si>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</si>
  <si>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</si>
  <si>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</si>
  <si>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</si>
  <si>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</si>
  <si>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</si>
  <si>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</si>
  <si>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</si>
  <si>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</si>
  <si>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</si>
  <si>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</si>
  <si>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</si>
  <si>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</si>
  <si>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</si>
  <si>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</si>
  <si>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</si>
  <si>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</si>
  <si>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</si>
  <si>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</si>
  <si>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</si>
  <si>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</si>
  <si>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</si>
  <si>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</si>
  <si>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</si>
  <si>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</si>
  <si>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</si>
  <si>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</si>
  <si>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</si>
  <si>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</si>
  <si>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</si>
  <si>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</si>
  <si>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</si>
  <si>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</si>
  <si>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</si>
  <si>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</si>
  <si>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</si>
  <si>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</si>
  <si>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</si>
  <si>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</si>
  <si>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</si>
  <si>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</si>
  <si>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</si>
  <si>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</si>
  <si>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</si>
  <si>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</si>
  <si>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</si>
  <si>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</si>
  <si>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</si>
  <si>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</si>
  <si>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</si>
  <si>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</si>
  <si>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</si>
  <si>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</si>
  <si>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</si>
  <si>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</si>
  <si>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</si>
  <si>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</si>
  <si>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</si>
  <si>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</si>
  <si>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</si>
  <si>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</si>
  <si>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</si>
  <si>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</si>
  <si>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</si>
  <si>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</si>
  <si>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</si>
  <si>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</si>
  <si>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</si>
  <si>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</si>
  <si>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</si>
  <si>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</si>
  <si>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</si>
  <si>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</si>
  <si>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</si>
  <si>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</si>
  <si>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</si>
  <si>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</si>
  <si>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</si>
  <si>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</si>
  <si>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</si>
  <si>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</si>
  <si>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</si>
  <si>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</si>
  <si>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</si>
  <si>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</si>
  <si>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</si>
  <si>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</si>
  <si>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</si>
  <si>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</si>
  <si>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</si>
  <si>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</si>
  <si>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</si>
  <si>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</si>
  <si>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</si>
  <si>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</si>
  <si>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</si>
  <si>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</si>
  <si>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</si>
  <si>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</si>
  <si>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</si>
  <si>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</si>
  <si>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</si>
  <si>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</si>
  <si>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</si>
  <si>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</si>
  <si>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</si>
  <si>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</si>
  <si>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</si>
  <si>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</si>
  <si>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</si>
  <si>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</si>
  <si>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</si>
  <si>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</si>
  <si>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</si>
  <si>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</si>
  <si>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</si>
  <si>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</si>
  <si>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</si>
  <si>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</si>
  <si>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</si>
  <si>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</si>
  <si>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</si>
  <si>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</si>
  <si>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</si>
  <si>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</si>
  <si>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</si>
  <si>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</si>
  <si>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</si>
  <si>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</si>
  <si>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</si>
  <si>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</si>
  <si>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</si>
  <si>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</si>
  <si>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</si>
  <si>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</si>
  <si>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</si>
  <si>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</si>
  <si>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</si>
  <si>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</si>
  <si>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</si>
  <si>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</si>
  <si>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</si>
  <si>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</si>
  <si>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</si>
  <si>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</si>
  <si>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</si>
  <si>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</si>
  <si>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</si>
  <si>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</si>
  <si>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</si>
  <si>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</si>
  <si>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</si>
  <si>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</si>
  <si>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</si>
  <si>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</si>
  <si>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</si>
  <si>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</si>
  <si>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</si>
  <si>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</si>
  <si>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</si>
  <si>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</si>
  <si>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</si>
  <si>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</si>
  <si>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</si>
  <si>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</si>
  <si>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</si>
  <si>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</si>
  <si>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</si>
  <si>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</si>
  <si>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</si>
  <si>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</si>
  <si>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</si>
  <si>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</si>
  <si>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</si>
  <si>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</si>
  <si>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</si>
  <si>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</si>
  <si>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</si>
  <si>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</si>
  <si>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</si>
  <si>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</si>
  <si>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</si>
  <si>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</si>
  <si>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</si>
  <si>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</si>
  <si>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</si>
  <si>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</si>
  <si>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</si>
  <si>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</si>
  <si>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</si>
  <si>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</si>
  <si>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</si>
  <si>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</si>
  <si>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</si>
  <si>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</si>
  <si>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</si>
  <si>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</si>
  <si>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</si>
  <si>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</si>
  <si>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</si>
  <si>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</si>
  <si>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</si>
  <si>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</si>
  <si>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</si>
  <si>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</si>
  <si>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</si>
  <si>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</si>
  <si>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</si>
  <si>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</si>
  <si>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</si>
  <si>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</si>
  <si>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</si>
  <si>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</si>
  <si>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</si>
  <si>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</si>
  <si>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</si>
  <si>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</si>
  <si>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</si>
  <si>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</si>
  <si>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</si>
  <si>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</si>
  <si>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</si>
  <si>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</si>
  <si>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</si>
  <si>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</si>
  <si>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</si>
  <si>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</si>
  <si>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</si>
  <si>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</si>
  <si>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</si>
  <si>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</si>
  <si>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</si>
  <si>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</si>
  <si>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</si>
  <si>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</si>
  <si>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</si>
  <si>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</si>
  <si>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</si>
  <si>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</si>
  <si>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</si>
  <si>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</si>
  <si>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</si>
  <si>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</si>
  <si>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</si>
  <si>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</si>
  <si>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</si>
  <si>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</si>
  <si>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</si>
  <si>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</si>
  <si>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</si>
  <si>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</si>
  <si>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</si>
  <si>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</si>
  <si>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</si>
  <si>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</si>
  <si>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</si>
  <si>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</si>
  <si>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</si>
  <si>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</si>
  <si>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</si>
  <si>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</si>
  <si>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</si>
  <si>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</si>
  <si>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</si>
  <si>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</si>
  <si>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</si>
  <si>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</si>
  <si>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</si>
  <si>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</si>
  <si>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</si>
  <si>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</si>
  <si>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</si>
  <si>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</si>
  <si>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</si>
  <si>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</si>
  <si>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</si>
  <si>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</si>
  <si>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</si>
  <si>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</si>
  <si>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</si>
  <si>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</si>
  <si>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</si>
  <si>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</si>
  <si>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</si>
  <si>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</si>
  <si>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</si>
  <si>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</si>
  <si>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</si>
  <si>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</si>
  <si>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</si>
  <si>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</si>
  <si>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</si>
  <si>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</si>
  <si>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</si>
  <si>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</si>
  <si>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</si>
  <si>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</si>
  <si>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</si>
  <si>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</si>
  <si>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</si>
  <si>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</si>
  <si>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</si>
  <si>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</si>
  <si>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</si>
  <si>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</si>
  <si>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</si>
  <si>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</si>
  <si>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</si>
  <si>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</si>
  <si>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</si>
  <si>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</si>
  <si>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</si>
  <si>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</si>
  <si>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</si>
  <si>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</si>
  <si>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</si>
  <si>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</si>
  <si>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</si>
  <si>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</si>
  <si>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</si>
  <si>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</si>
  <si>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</si>
  <si>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</si>
  <si>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</si>
  <si>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</si>
  <si>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</si>
  <si>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</si>
  <si>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</si>
  <si>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</si>
  <si>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</si>
  <si>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</si>
  <si>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</si>
  <si>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</si>
  <si>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</si>
  <si>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</si>
  <si>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</si>
  <si>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</si>
  <si>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</si>
  <si>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</si>
  <si>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</si>
  <si>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</si>
  <si>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</si>
  <si>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</si>
  <si>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</si>
  <si>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</si>
  <si>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</si>
  <si>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</si>
  <si>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</si>
  <si>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</si>
  <si>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</si>
  <si>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</si>
  <si>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</si>
  <si>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</si>
  <si>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</si>
  <si>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</si>
  <si>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</si>
  <si>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</si>
  <si>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</si>
  <si>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</si>
  <si>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</si>
  <si>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</si>
  <si>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</si>
  <si>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</si>
  <si>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</si>
  <si>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</si>
  <si>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</si>
  <si>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</si>
  <si>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</si>
  <si>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</si>
  <si>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</si>
  <si>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</si>
  <si>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</si>
  <si>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</si>
  <si>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</si>
  <si>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</si>
  <si>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</si>
  <si>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</si>
  <si>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</si>
  <si>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</si>
  <si>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</si>
  <si>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</si>
  <si>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</si>
  <si>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</si>
  <si>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</si>
  <si>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</si>
  <si>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</si>
  <si>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</si>
  <si>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</si>
  <si>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</si>
  <si>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</si>
  <si>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</si>
  <si>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</si>
  <si>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</si>
  <si>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</si>
  <si>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</si>
  <si>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</si>
  <si>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</si>
  <si>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</si>
  <si>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</si>
  <si>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</si>
  <si>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</si>
  <si>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</si>
  <si>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</si>
  <si>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</si>
  <si>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</si>
  <si>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</si>
  <si>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</si>
  <si>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</si>
  <si>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</si>
  <si>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</si>
  <si>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</si>
  <si>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</si>
  <si>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</si>
  <si>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</si>
  <si>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</si>
  <si>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</si>
  <si>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</si>
  <si>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</si>
  <si>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</si>
  <si>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</si>
  <si>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</si>
  <si>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</si>
  <si>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</si>
  <si>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</si>
  <si>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</si>
  <si>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</si>
  <si>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</si>
  <si>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</si>
  <si>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</si>
  <si>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</si>
  <si>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</si>
  <si>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</si>
  <si>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</si>
  <si>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</si>
  <si>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</si>
  <si>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</si>
  <si>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</si>
  <si>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</si>
  <si>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</si>
  <si>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</si>
  <si>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</si>
  <si>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</si>
  <si>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</si>
  <si>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</si>
  <si>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</si>
  <si>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</si>
  <si>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</si>
  <si>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</si>
  <si>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</si>
  <si>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</si>
  <si>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</si>
  <si>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</si>
  <si>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</si>
  <si>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</si>
  <si>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</si>
  <si>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</si>
  <si>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</si>
  <si>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</si>
  <si>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</si>
  <si>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</si>
  <si>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</si>
  <si>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</si>
  <si>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</si>
  <si>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</si>
  <si>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</si>
  <si>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</si>
  <si>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</si>
  <si>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</si>
  <si>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</si>
  <si>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</si>
  <si>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</si>
  <si>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</si>
  <si>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</si>
  <si>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</si>
  <si>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</si>
  <si>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</si>
  <si>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</si>
  <si>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</si>
  <si>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</si>
  <si>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</si>
  <si>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</si>
  <si>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</si>
  <si>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</si>
  <si>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</si>
  <si>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</si>
  <si>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</si>
  <si>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</si>
  <si>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</si>
  <si>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</si>
  <si>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</si>
  <si>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</si>
  <si>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</si>
  <si>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</si>
  <si>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</si>
  <si>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</si>
  <si>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</si>
  <si>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</si>
  <si>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</si>
  <si>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</si>
  <si>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</si>
  <si>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</si>
  <si>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</si>
  <si>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</si>
  <si>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</si>
  <si>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</si>
  <si>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</si>
  <si>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</si>
  <si>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</si>
  <si>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</si>
  <si>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</si>
  <si>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</si>
  <si>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</si>
  <si>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</si>
  <si>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</si>
  <si>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</si>
  <si>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</si>
  <si>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</si>
  <si>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</si>
  <si>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</si>
  <si>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</si>
  <si>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</si>
  <si>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</si>
  <si>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</si>
  <si>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</si>
  <si>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</si>
  <si>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</si>
  <si>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</si>
  <si>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</si>
  <si>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</si>
  <si>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</si>
  <si>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</si>
  <si>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</si>
  <si>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</si>
  <si>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</si>
  <si>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</si>
  <si>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</si>
  <si>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</si>
  <si>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</si>
  <si>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</si>
  <si>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</si>
  <si>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</si>
  <si>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</si>
  <si>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</si>
  <si>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</si>
  <si>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</si>
  <si>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</si>
  <si>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TET</t>
  </si>
  <si>
    <t xml:space="preserve">TET A SAUTO</t>
  </si>
  <si>
    <t xml:space="preserve">06169880</t>
  </si>
  <si>
    <t xml:space="preserve">(Date)</t>
  </si>
  <si>
    <t xml:space="preserve">26/07/2016</t>
  </si>
  <si>
    <t xml:space="preserve">Résultats</t>
  </si>
  <si>
    <t xml:space="preserve">Robustesse:</t>
  </si>
  <si>
    <t xml:space="preserve">Unité(s) de relevé</t>
  </si>
  <si>
    <t xml:space="preserve">UR1</t>
  </si>
  <si>
    <t xml:space="preserve">UR2</t>
  </si>
  <si>
    <t xml:space="preserve">Faciès dominant</t>
  </si>
  <si>
    <t xml:space="preserve">pl.courant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</si>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</sst>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15.1428571428571</v>
      </c>
      <c r="N5" s="324"/>
      <c r="O5" s="325" t="s">
        <v>448</v>
      </c>
      <c r="P5" s="326" t="n">
        <v>15.1666666666667</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14.5454545454545</v>
      </c>
      <c r="P8" s="356" t="n">
        <f aca="false">IF(ISERROR(AVERAGE(K23:K82)),"  ",AVERAGE(K23:K82))</f>
        <v>2.18181818181818</v>
      </c>
      <c r="Q8" s="357"/>
      <c r="R8" s="281"/>
      <c r="S8" s="281"/>
      <c r="T8" s="281"/>
      <c r="U8" s="281"/>
      <c r="V8" s="281"/>
      <c r="W8" s="295"/>
      <c r="X8" s="0"/>
      <c r="Y8" s="0"/>
      <c r="Z8" s="0"/>
    </row>
    <row r="9" customFormat="false" ht="12.75" hidden="false" customHeight="false" outlineLevel="0" collapsed="false">
      <c r="A9" s="314" t="s">
        <v>3398</v>
      </c>
      <c r="B9" s="358" t="n">
        <v>5</v>
      </c>
      <c r="C9" s="359"/>
      <c r="D9" s="360"/>
      <c r="E9" s="360"/>
      <c r="F9" s="361" t="n">
        <f aca="false">($B9*$B$7+$C9*$C$7)/100</f>
        <v>5</v>
      </c>
      <c r="G9" s="362"/>
      <c r="H9" s="317"/>
      <c r="I9" s="281"/>
      <c r="J9" s="363"/>
      <c r="K9" s="364"/>
      <c r="L9" s="347"/>
      <c r="M9" s="365"/>
      <c r="N9" s="355" t="s">
        <v>3399</v>
      </c>
      <c r="O9" s="356" t="n">
        <f aca="false">IF(ISERROR(STDEVP(J23:J82))," ",STDEVP(J23:J82))</f>
        <v>3.05595205708575</v>
      </c>
      <c r="P9" s="356" t="n">
        <f aca="false">IF(ISERROR(STDEVP(K23:K82)),"  ",STDEVP(K23:K82))</f>
        <v>0.715818897637437</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19</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3</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9</v>
      </c>
      <c r="M13" s="381"/>
      <c r="N13" s="389" t="s">
        <v>3411</v>
      </c>
      <c r="O13" s="390" t="n">
        <f aca="false">COUNTIF(F23:F82,"&gt;0")</f>
        <v>12</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0.916666666666667</v>
      </c>
      <c r="N17" s="389" t="s">
        <v>3422</v>
      </c>
      <c r="O17" s="390" t="n">
        <f aca="false">COUNTIF(K23:K82,"=3")</f>
        <v>4</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4.688</v>
      </c>
      <c r="C20" s="433" t="n">
        <f aca="false">SUM(C23:C82)</f>
        <v>0</v>
      </c>
      <c r="D20" s="434"/>
      <c r="E20" s="435" t="s">
        <v>3424</v>
      </c>
      <c r="F20" s="436" t="n">
        <f aca="false">($B20*$B$7+$C20*$C$7)/100</f>
        <v>4.688</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4.688</v>
      </c>
      <c r="C21" s="444" t="n">
        <f aca="false">C20*C7/100</f>
        <v>0</v>
      </c>
      <c r="D21" s="445" t="s">
        <v>3427</v>
      </c>
      <c r="E21" s="446"/>
      <c r="F21" s="447" t="n">
        <f aca="false">B21+C21</f>
        <v>4.688</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195</v>
      </c>
      <c r="B24" s="490" t="n">
        <v>0.02</v>
      </c>
      <c r="C24" s="491"/>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0.02</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306</v>
      </c>
      <c r="B25" s="490" t="n">
        <v>1.5</v>
      </c>
      <c r="C25" s="491"/>
      <c r="D25" s="492" t="str">
        <f aca="false">IF(ISERROR(VLOOKUP($A25,'liste reference'!$A$6:$B$1174,2,0)),IF(ISERROR(VLOOKUP($A25,'liste reference'!$B$6:$B$1174,1,0)),"",VLOOKUP($A25,'liste reference'!$B$6:$B$1174,1,0)),VLOOKUP($A25,'liste reference'!$A$6:$B$1174,2,0))</f>
        <v>Paralemanea sp.</v>
      </c>
      <c r="E25" s="493" t="e">
        <f aca="false">IF(D25="",0,VLOOKUP(D25,D$22:D24,1,0))</f>
        <v>#N/A</v>
      </c>
      <c r="F25" s="494" t="n">
        <f aca="false">IF(AND(OR(A25="",A25="!!!!!!"),B25="",C25=""),"",IF(OR(AND(B25="",C25=""),ISERROR(C25+B25)),"!!!",($B25*$B$7+$C25*$C$7)/100))</f>
        <v>1.5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Paralemanea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31566</v>
      </c>
      <c r="R25" s="484" t="n">
        <f aca="false">IF(ISTEXT(H25),"",(B25*$B$7/100)+(C25*$C$7/100))</f>
        <v>1.5</v>
      </c>
      <c r="S25" s="485" t="n">
        <f aca="false">IF(OR(ISTEXT(H25),R25=0),"",IF(R25&lt;0.1,1,IF(R25&lt;1,2,IF(R25&lt;10,3,IF(R25&lt;50,4,IF(R25&gt;=50,5,""))))))</f>
        <v>3</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PAASPX</v>
      </c>
      <c r="Z25" s="470" t="n">
        <f aca="false">IF(ISERROR(MATCH(A25,'liste reference'!$A$6:$A$1174,0)),IF(ISERROR(MATCH(A25,'liste reference'!$B$6:$B$1174,0)),"",(MATCH(A25,'liste reference'!$B$6:$B$1174,0))),(MATCH(A25,'liste reference'!$A$6:$A$1174,0)))</f>
        <v>87</v>
      </c>
    </row>
    <row r="26" customFormat="false" ht="12.75" hidden="false" customHeight="false" outlineLevel="0" collapsed="false">
      <c r="A26" s="489" t="s">
        <v>448</v>
      </c>
      <c r="B26" s="490" t="n">
        <v>0.1</v>
      </c>
      <c r="C26" s="491"/>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0.1</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0.1</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465</v>
      </c>
      <c r="B27" s="490" t="n">
        <v>0.005</v>
      </c>
      <c r="C27" s="491"/>
      <c r="D27" s="492" t="str">
        <f aca="false">IF(ISERROR(VLOOKUP($A27,'liste reference'!$A$6:$B$1174,2,0)),IF(ISERROR(VLOOKUP($A27,'liste reference'!$B$6:$B$1174,1,0)),"",VLOOKUP($A27,'liste reference'!$B$6:$B$1174,1,0)),VLOOKUP($A27,'liste reference'!$A$6:$B$1174,2,0))</f>
        <v>Jungermannia atrovirens</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n">
        <f aca="false">IF(ISNUMBER($H27),IF(ISERROR(VLOOKUP($A27,'liste reference'!$A$6:$Q$1174,6,0)),IF(ISERROR(VLOOKUP($A27,'liste reference'!$B$6:$Q$1174,5,0)),"nu",VLOOKUP($A27,'liste reference'!$B$6:$Q$1174,5,0)),VLOOKUP($A27,'liste reference'!$A$6:$Q$1174,6,0)),"nu")</f>
        <v>19</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Jungermannia atrovirens</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19820</v>
      </c>
      <c r="R27" s="484" t="n">
        <f aca="false">IF(ISTEXT(H27),"",(B27*$B$7/100)+(C27*$C$7/100))</f>
        <v>0.005</v>
      </c>
      <c r="S27" s="485" t="n">
        <f aca="false">IF(OR(ISTEXT(H27),R27=0),"",IF(R27&lt;0.1,1,IF(R27&lt;1,2,IF(R27&lt;10,3,IF(R27&lt;50,4,IF(R27&gt;=50,5,""))))))</f>
        <v>1</v>
      </c>
      <c r="T27" s="485" t="n">
        <f aca="false">IF(ISERROR(S27*J27),0,S27*J27)</f>
        <v>19</v>
      </c>
      <c r="U27" s="485" t="n">
        <f aca="false">IF(ISERROR(S27*J27*K27),0,S27*J27*K27)</f>
        <v>57</v>
      </c>
      <c r="V27" s="501" t="n">
        <f aca="false">IF(ISERROR(S27*K27),0,S27*K27)</f>
        <v>3</v>
      </c>
      <c r="W27" s="502"/>
      <c r="X27" s="503"/>
      <c r="Y27" s="488" t="str">
        <f aca="false">IF(AND(ISNUMBER(F27),OR(A27="",A27="!!!!!!")),"!!!!!!",IF(A27="new.cod","NEWCOD",IF(AND((Z27=""),ISTEXT(A27),A27&lt;&gt;"!!!!!!"),A27,IF(Z27="","",INDEX('liste reference'!$A$6:$A$1174,Z27)))))</f>
        <v>JUGATR</v>
      </c>
      <c r="Z27" s="470" t="n">
        <f aca="false">IF(ISERROR(MATCH(A27,'liste reference'!$A$6:$A$1174,0)),IF(ISERROR(MATCH(A27,'liste reference'!$B$6:$B$1174,0)),"",(MATCH(A27,'liste reference'!$B$6:$B$1174,0))),(MATCH(A27,'liste reference'!$A$6:$A$1174,0)))</f>
        <v>142</v>
      </c>
    </row>
    <row r="28" customFormat="false" ht="12.75" hidden="false" customHeight="false" outlineLevel="0" collapsed="false">
      <c r="A28" s="489" t="s">
        <v>723</v>
      </c>
      <c r="B28" s="490" t="n">
        <v>0.005</v>
      </c>
      <c r="C28" s="491"/>
      <c r="D28" s="492" t="str">
        <f aca="false">IF(ISERROR(VLOOKUP($A28,'liste reference'!$A$6:$B$1174,2,0)),IF(ISERROR(VLOOKUP($A28,'liste reference'!$B$6:$B$1174,1,0)),"",VLOOKUP($A28,'liste reference'!$B$6:$B$1174,1,0)),VLOOKUP($A28,'liste reference'!$A$6:$B$1174,2,0))</f>
        <v>Cratoneuron filicinum</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18</v>
      </c>
      <c r="K28" s="497" t="n">
        <f aca="false">IF(ISNUMBER($H28),IF(ISERROR(VLOOKUP($A28,'liste reference'!$A$6:$Q$1174,7,0)),IF(ISERROR(VLOOKUP($A28,'liste reference'!$B$6:$Q$1174,6,0)),"nu",VLOOKUP($A28,'liste reference'!$B$6:$Q$1174,6,0)),VLOOKUP($A28,'liste reference'!$A$6:$Q$1174,7,0)),"nu")</f>
        <v>3</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Cratoneuron filicinum</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1233</v>
      </c>
      <c r="R28" s="484" t="n">
        <f aca="false">IF(ISTEXT(H28),"",(B28*$B$7/100)+(C28*$C$7/100))</f>
        <v>0.005</v>
      </c>
      <c r="S28" s="485" t="n">
        <f aca="false">IF(OR(ISTEXT(H28),R28=0),"",IF(R28&lt;0.1,1,IF(R28&lt;1,2,IF(R28&lt;10,3,IF(R28&lt;50,4,IF(R28&gt;=50,5,""))))))</f>
        <v>1</v>
      </c>
      <c r="T28" s="485" t="n">
        <f aca="false">IF(ISERROR(S28*J28),0,S28*J28)</f>
        <v>18</v>
      </c>
      <c r="U28" s="485" t="n">
        <f aca="false">IF(ISERROR(S28*J28*K28),0,S28*J28*K28)</f>
        <v>54</v>
      </c>
      <c r="V28" s="501" t="n">
        <f aca="false">IF(ISERROR(S28*K28),0,S28*K28)</f>
        <v>3</v>
      </c>
      <c r="W28" s="502"/>
      <c r="X28" s="503"/>
      <c r="Y28" s="488" t="str">
        <f aca="false">IF(AND(ISNUMBER(F28),OR(A28="",A28="!!!!!!")),"!!!!!!",IF(A28="new.cod","NEWCOD",IF(AND((Z28=""),ISTEXT(A28),A28&lt;&gt;"!!!!!!"),A28,IF(Z28="","",INDEX('liste reference'!$A$6:$A$1174,Z28)))))</f>
        <v>CRAFIL</v>
      </c>
      <c r="Z28" s="470" t="n">
        <f aca="false">IF(ISERROR(MATCH(A28,'liste reference'!$A$6:$A$1174,0)),IF(ISERROR(MATCH(A28,'liste reference'!$B$6:$B$1174,0)),"",(MATCH(A28,'liste reference'!$B$6:$B$1174,0))),(MATCH(A28,'liste reference'!$A$6:$A$1174,0)))</f>
        <v>227</v>
      </c>
    </row>
    <row r="29" customFormat="false" ht="12.75" hidden="false" customHeight="false" outlineLevel="0" collapsed="false">
      <c r="A29" s="489" t="s">
        <v>830</v>
      </c>
      <c r="B29" s="490" t="n">
        <v>0.005</v>
      </c>
      <c r="C29" s="491"/>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0.005</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889</v>
      </c>
      <c r="B30" s="490" t="n">
        <v>0.03</v>
      </c>
      <c r="C30" s="491"/>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0.03</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0.03</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899</v>
      </c>
      <c r="B31" s="490" t="n">
        <v>0.005</v>
      </c>
      <c r="C31" s="491"/>
      <c r="D31" s="492" t="str">
        <f aca="false">IF(ISERROR(VLOOKUP($A31,'liste reference'!$A$6:$B$1174,2,0)),IF(ISERROR(VLOOKUP($A31,'liste reference'!$B$6:$B$1174,1,0)),"",VLOOKUP($A31,'liste reference'!$B$6:$B$1174,1,0)),VLOOKUP($A31,'liste reference'!$A$6:$B$1174,2,0))</f>
        <v>Fontinalis squamosa</v>
      </c>
      <c r="E31" s="493" t="e">
        <f aca="false">IF(D31="",0,VLOOKUP(D31,D$22:D30,1,0))</f>
        <v>#N/A</v>
      </c>
      <c r="F31" s="494" t="n">
        <f aca="false">IF(AND(OR(A31="",A31="!!!!!!"),B31="",C31=""),"",IF(OR(AND(B31="",C31=""),ISERROR(C31+B31)),"!!!",($B31*$B$7+$C31*$C$7)/100))</f>
        <v>0.005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16</v>
      </c>
      <c r="K31" s="497" t="n">
        <f aca="false">IF(ISNUMBER($H31),IF(ISERROR(VLOOKUP($A31,'liste reference'!$A$6:$Q$1174,7,0)),IF(ISERROR(VLOOKUP($A31,'liste reference'!$B$6:$Q$1174,6,0)),"nu",VLOOKUP($A31,'liste reference'!$B$6:$Q$1174,6,0)),VLOOKUP($A31,'liste reference'!$A$6:$Q$1174,7,0)),"nu")</f>
        <v>3</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squamosa</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1312</v>
      </c>
      <c r="R31" s="484" t="n">
        <f aca="false">IF(ISTEXT(H31),"",(B31*$B$7/100)+(C31*$C$7/100))</f>
        <v>0.005</v>
      </c>
      <c r="S31" s="485" t="n">
        <f aca="false">IF(OR(ISTEXT(H31),R31=0),"",IF(R31&lt;0.1,1,IF(R31&lt;1,2,IF(R31&lt;10,3,IF(R31&lt;50,4,IF(R31&gt;=50,5,""))))))</f>
        <v>1</v>
      </c>
      <c r="T31" s="485" t="n">
        <f aca="false">IF(ISERROR(S31*J31),0,S31*J31)</f>
        <v>16</v>
      </c>
      <c r="U31" s="485" t="n">
        <f aca="false">IF(ISERROR(S31*J31*K31),0,S31*J31*K31)</f>
        <v>48</v>
      </c>
      <c r="V31" s="501" t="n">
        <f aca="false">IF(ISERROR(S31*K31),0,S31*K31)</f>
        <v>3</v>
      </c>
      <c r="W31" s="502"/>
      <c r="X31" s="503"/>
      <c r="Y31" s="488" t="str">
        <f aca="false">IF(AND(ISNUMBER(F31),OR(A31="",A31="!!!!!!")),"!!!!!!",IF(A31="new.cod","NEWCOD",IF(AND((Z31=""),ISTEXT(A31),A31&lt;&gt;"!!!!!!"),A31,IF(Z31="","",INDEX('liste reference'!$A$6:$A$1174,Z31)))))</f>
        <v>FONSQU</v>
      </c>
      <c r="Z31" s="470" t="n">
        <f aca="false">IF(ISERROR(MATCH(A31,'liste reference'!$A$6:$A$1174,0)),IF(ISERROR(MATCH(A31,'liste reference'!$B$6:$B$1174,0)),"",(MATCH(A31,'liste reference'!$B$6:$B$1174,0))),(MATCH(A31,'liste reference'!$A$6:$A$1174,0)))</f>
        <v>277</v>
      </c>
    </row>
    <row r="32" customFormat="false" ht="12.75" hidden="false" customHeight="false" outlineLevel="0" collapsed="false">
      <c r="A32" s="489" t="s">
        <v>909</v>
      </c>
      <c r="B32" s="490" t="n">
        <v>0.008</v>
      </c>
      <c r="C32" s="491"/>
      <c r="D32" s="492" t="str">
        <f aca="false">IF(ISERROR(VLOOKUP($A32,'liste reference'!$A$6:$B$1174,2,0)),IF(ISERROR(VLOOKUP($A32,'liste reference'!$B$6:$B$1174,1,0)),"",VLOOKUP($A32,'liste reference'!$B$6:$B$1174,1,0)),VLOOKUP($A32,'liste reference'!$A$6:$B$1174,2,0))</f>
        <v>Hygroamblystegium fluviatile </v>
      </c>
      <c r="E32" s="493" t="e">
        <f aca="false">IF(D32="",0,VLOOKUP(D32,D$22:D31,1,0))</f>
        <v>#N/A</v>
      </c>
      <c r="F32" s="494" t="n">
        <f aca="false">IF(AND(OR(A32="",A32="!!!!!!"),B32="",C32=""),"",IF(OR(AND(B32="",C32=""),ISERROR(C32+B32)),"!!!",($B32*$B$7+$C32*$C$7)/100))</f>
        <v>0.008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Hygroamblystegium fluviatile </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1237</v>
      </c>
      <c r="R32" s="484" t="n">
        <f aca="false">IF(ISTEXT(H32),"",(B32*$B$7/100)+(C32*$C$7/100))</f>
        <v>0.008</v>
      </c>
      <c r="S32" s="485" t="n">
        <f aca="false">IF(OR(ISTEXT(H32),R32=0),"",IF(R32&lt;0.1,1,IF(R32&lt;1,2,IF(R32&lt;10,3,IF(R32&lt;50,4,IF(R32&gt;=50,5,""))))))</f>
        <v>1</v>
      </c>
      <c r="T32" s="485" t="n">
        <f aca="false">IF(ISERROR(S32*J32),0,S32*J32)</f>
        <v>11</v>
      </c>
      <c r="U32" s="485" t="n">
        <f aca="false">IF(ISERROR(S32*J32*K32),0,S32*J32*K32)</f>
        <v>22</v>
      </c>
      <c r="V32" s="501" t="n">
        <f aca="false">IF(ISERROR(S32*K32),0,S32*K32)</f>
        <v>2</v>
      </c>
      <c r="W32" s="502"/>
      <c r="X32" s="503"/>
      <c r="Y32" s="488" t="str">
        <f aca="false">IF(AND(ISNUMBER(F32),OR(A32="",A32="!!!!!!")),"!!!!!!",IF(A32="new.cod","NEWCOD",IF(AND((Z32=""),ISTEXT(A32),A32&lt;&gt;"!!!!!!"),A32,IF(Z32="","",INDEX('liste reference'!$A$6:$A$1174,Z32)))))</f>
        <v>HYAFLU</v>
      </c>
      <c r="Z32" s="470" t="n">
        <f aca="false">IF(ISERROR(MATCH(A32,'liste reference'!$A$6:$A$1174,0)),IF(ISERROR(MATCH(A32,'liste reference'!$B$6:$B$1174,0)),"",(MATCH(A32,'liste reference'!$B$6:$B$1174,0))),(MATCH(A32,'liste reference'!$A$6:$A$1174,0)))</f>
        <v>281</v>
      </c>
    </row>
    <row r="33" customFormat="false" ht="12.75" hidden="false" customHeight="false" outlineLevel="0" collapsed="false">
      <c r="A33" s="489" t="s">
        <v>928</v>
      </c>
      <c r="B33" s="490" t="n">
        <v>0.005</v>
      </c>
      <c r="C33" s="491"/>
      <c r="D33" s="492" t="str">
        <f aca="false">IF(ISERROR(VLOOKUP($A33,'liste reference'!$A$6:$B$1174,2,0)),IF(ISERROR(VLOOKUP($A33,'liste reference'!$B$6:$B$1174,1,0)),"",VLOOKUP($A33,'liste reference'!$B$6:$B$1174,1,0)),VLOOKUP($A33,'liste reference'!$A$6:$B$1174,2,0))</f>
        <v>Hygrohypnum duriusculum</v>
      </c>
      <c r="E33" s="493" t="e">
        <f aca="false">IF(D33="",0,VLOOKUP(D33,D$22:D32,1,0))</f>
        <v>#N/A</v>
      </c>
      <c r="F33" s="494" t="n">
        <f aca="false">IF(AND(OR(A33="",A33="!!!!!!"),B33="",C33=""),"",IF(OR(AND(B33="",C33=""),ISERROR(C33+B33)),"!!!",($B33*$B$7+$C33*$C$7)/100))</f>
        <v>0.005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19</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Hygrohypnum duriusculum</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9821</v>
      </c>
      <c r="R33" s="484" t="n">
        <f aca="false">IF(ISTEXT(H33),"",(B33*$B$7/100)+(C33*$C$7/100))</f>
        <v>0.005</v>
      </c>
      <c r="S33" s="485" t="n">
        <f aca="false">IF(OR(ISTEXT(H33),R33=0),"",IF(R33&lt;0.1,1,IF(R33&lt;1,2,IF(R33&lt;10,3,IF(R33&lt;50,4,IF(R33&gt;=50,5,""))))))</f>
        <v>1</v>
      </c>
      <c r="T33" s="485" t="n">
        <f aca="false">IF(ISERROR(S33*J33),0,S33*J33)</f>
        <v>19</v>
      </c>
      <c r="U33" s="485" t="n">
        <f aca="false">IF(ISERROR(S33*J33*K33),0,S33*J33*K33)</f>
        <v>57</v>
      </c>
      <c r="V33" s="501" t="n">
        <f aca="false">IF(ISERROR(S33*K33),0,S33*K33)</f>
        <v>3</v>
      </c>
      <c r="W33" s="502"/>
      <c r="X33" s="503"/>
      <c r="Y33" s="488" t="str">
        <f aca="false">IF(AND(ISNUMBER(F33),OR(A33="",A33="!!!!!!")),"!!!!!!",IF(A33="new.cod","NEWCOD",IF(AND((Z33=""),ISTEXT(A33),A33&lt;&gt;"!!!!!!"),A33,IF(Z33="","",INDEX('liste reference'!$A$6:$A$1174,Z33)))))</f>
        <v>HYGDUR</v>
      </c>
      <c r="Z33" s="470" t="n">
        <f aca="false">IF(ISERROR(MATCH(A33,'liste reference'!$A$6:$A$1174,0)),IF(ISERROR(MATCH(A33,'liste reference'!$B$6:$B$1174,0)),"",(MATCH(A33,'liste reference'!$B$6:$B$1174,0))),(MATCH(A33,'liste reference'!$A$6:$A$1174,0)))</f>
        <v>285</v>
      </c>
    </row>
    <row r="34" customFormat="false" ht="12.75" hidden="false" customHeight="false" outlineLevel="0" collapsed="false">
      <c r="A34" s="489" t="s">
        <v>1122</v>
      </c>
      <c r="B34" s="490" t="n">
        <v>3</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3</v>
      </c>
      <c r="S34" s="485" t="n">
        <f aca="false">IF(OR(ISTEXT(H34),R34=0),"",IF(R34&lt;0.1,1,IF(R34&lt;1,2,IF(R34&lt;10,3,IF(R34&lt;50,4,IF(R34&gt;=50,5,""))))))</f>
        <v>3</v>
      </c>
      <c r="T34" s="485" t="n">
        <f aca="false">IF(ISERROR(S34*J34),0,S34*J34)</f>
        <v>36</v>
      </c>
      <c r="U34" s="485" t="n">
        <f aca="false">IF(ISERROR(S34*J34*K34),0,S34*J34*K34)</f>
        <v>36</v>
      </c>
      <c r="V34" s="501" t="n">
        <f aca="false">IF(ISERROR(S34*K34),0,S34*K34)</f>
        <v>3</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4.688</v>
      </c>
      <c r="G83" s="424"/>
      <c r="H83" s="424"/>
      <c r="I83" s="424"/>
      <c r="J83" s="424"/>
      <c r="K83" s="424"/>
      <c r="L83" s="424"/>
      <c r="M83" s="485"/>
      <c r="N83" s="485"/>
      <c r="O83" s="485"/>
      <c r="P83" s="485"/>
      <c r="Q83" s="485"/>
      <c r="R83" s="485"/>
      <c r="S83" s="485"/>
      <c r="T83" s="485"/>
      <c r="U83" s="485"/>
      <c r="V83" s="485" t="n">
        <f aca="false">SUM(V23:V82)</f>
        <v>28</v>
      </c>
      <c r="W83" s="485"/>
      <c r="X83" s="523"/>
      <c r="Y83" s="523"/>
      <c r="Z83" s="524"/>
    </row>
    <row r="84" customFormat="false" ht="12.75" hidden="true" customHeight="false" outlineLevel="0" collapsed="false">
      <c r="A84" s="518" t="str">
        <f aca="false">A3</f>
        <v>TET</v>
      </c>
      <c r="B84" s="453" t="str">
        <f aca="false">C3</f>
        <v>TET A SAUTO</v>
      </c>
      <c r="C84" s="525" t="str">
        <f aca="false">A4</f>
        <v>(Date)</v>
      </c>
      <c r="D84" s="526" t="n">
        <f aca="false">IF(OR(ISERROR(SUM($U$23:$U$82)/SUM($V$23:$V$82)),F7&lt;&gt;100),-1,SUM($U$23:$U$82)/SUM($V$23:$V$82))</f>
        <v>15.1428571428571</v>
      </c>
      <c r="E84" s="527" t="n">
        <f aca="false">O13</f>
        <v>12</v>
      </c>
      <c r="F84" s="453" t="n">
        <f aca="false">O14</f>
        <v>11</v>
      </c>
      <c r="G84" s="453" t="n">
        <f aca="false">O15</f>
        <v>2</v>
      </c>
      <c r="H84" s="453" t="n">
        <f aca="false">O16</f>
        <v>5</v>
      </c>
      <c r="I84" s="453" t="n">
        <f aca="false">O17</f>
        <v>4</v>
      </c>
      <c r="J84" s="528" t="n">
        <f aca="false">O8</f>
        <v>14.5454545454545</v>
      </c>
      <c r="K84" s="529" t="n">
        <f aca="false">O9</f>
        <v>3.05595205708575</v>
      </c>
      <c r="L84" s="530" t="n">
        <f aca="false">O10</f>
        <v>10</v>
      </c>
      <c r="M84" s="530" t="n">
        <f aca="false">O11</f>
        <v>19</v>
      </c>
      <c r="N84" s="529" t="n">
        <f aca="false">P8</f>
        <v>2.18181818181818</v>
      </c>
      <c r="O84" s="529" t="n">
        <f aca="false">P9</f>
        <v>0.715818897637437</v>
      </c>
      <c r="P84" s="530" t="n">
        <f aca="false">P10</f>
        <v>1</v>
      </c>
      <c r="Q84" s="530" t="n">
        <f aca="false">P11</f>
        <v>3</v>
      </c>
      <c r="R84" s="530" t="n">
        <f aca="false">F21</f>
        <v>4.688</v>
      </c>
      <c r="S84" s="530" t="n">
        <f aca="false">L11</f>
        <v>0</v>
      </c>
      <c r="T84" s="530" t="n">
        <f aca="false">L12</f>
        <v>3</v>
      </c>
      <c r="U84" s="530" t="n">
        <f aca="false">L13</f>
        <v>9</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30</v>
      </c>
      <c r="U87" s="281"/>
      <c r="V87" s="281"/>
    </row>
    <row r="88" customFormat="false" ht="12.75" hidden="true" customHeight="false" outlineLevel="0" collapsed="false">
      <c r="C88" s="534"/>
      <c r="D88" s="534"/>
      <c r="E88" s="534"/>
      <c r="R88" s="281" t="s">
        <v>3450</v>
      </c>
      <c r="S88" s="281"/>
      <c r="T88" s="536" t="n">
        <f aca="false">VLOOKUP($T$91,($A$23:$U$82),21,0)</f>
        <v>60</v>
      </c>
      <c r="U88" s="281"/>
      <c r="V88" s="281" t="n">
        <f aca="false">COUNTIF(V23:V82,T89)</f>
        <v>1</v>
      </c>
    </row>
    <row r="89" customFormat="false" ht="12.75" hidden="true" customHeight="false" outlineLevel="0" collapsed="false">
      <c r="C89" s="534"/>
      <c r="D89" s="534"/>
      <c r="E89" s="534"/>
      <c r="R89" s="281" t="s">
        <v>3451</v>
      </c>
      <c r="S89" s="281"/>
      <c r="T89" s="536" t="n">
        <f aca="false">MAX($V$23:$V$82)</f>
        <v>4</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15.1666666666667</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CHIPOL</v>
      </c>
      <c r="U91" s="281" t="n">
        <f aca="false">IF(ISERROR(MATCH($T$93,'liste reference'!$A$6:$A$1174,0)),MATCH($T$93,'liste reference'!$B$6:$B$1174,0),(MATCH($T$93,'liste reference'!$A$6:$A$1174,0)))</f>
        <v>137</v>
      </c>
      <c r="V91" s="538"/>
    </row>
    <row r="92" customFormat="false" ht="12.75" hidden="true" customHeight="false" outlineLevel="0" collapsed="false">
      <c r="C92" s="534"/>
      <c r="D92" s="534"/>
      <c r="E92" s="534"/>
      <c r="R92" s="281" t="s">
        <v>3454</v>
      </c>
      <c r="S92" s="281"/>
      <c r="T92" s="281" t="n">
        <f aca="false">MATCH(T89,$V$23:$V$82,0)</f>
        <v>4</v>
      </c>
      <c r="U92" s="281"/>
    </row>
    <row r="93" customFormat="false" ht="12.75" hidden="true" customHeight="false" outlineLevel="0" collapsed="false">
      <c r="C93" s="534"/>
      <c r="D93" s="534"/>
      <c r="E93" s="534"/>
      <c r="R93" s="485" t="s">
        <v>3455</v>
      </c>
      <c r="S93" s="281"/>
      <c r="T93" s="485" t="str">
        <f aca="false">INDEX($A$23:$A$82,$T$92)</f>
        <v>CHIPOL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3456</v>
      </c>
      <c r="B2" s="286"/>
      <c r="C2" s="287" t="s">
        <v>3457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3458</v>
      </c>
      <c r="B3" s="286"/>
      <c r="C3" s="285" t="s">
        <v>3459</v>
      </c>
      <c r="D3" s="296"/>
      <c r="E3" s="296"/>
      <c r="F3" s="297"/>
      <c r="G3" s="297"/>
      <c r="H3" s="296"/>
      <c r="I3" s="281"/>
      <c r="J3" s="288"/>
      <c r="K3" s="298"/>
      <c r="L3" s="299" t="s">
        <v>3460</v>
      </c>
      <c r="M3" s="300"/>
      <c r="N3" s="301" t="s">
        <v>3461</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3462</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3448</v>
      </c>
      <c r="S86" s="281"/>
      <c r="T86" s="536"/>
      <c r="U86" s="281"/>
      <c r="V86" s="281"/>
    </row>
    <row r="87" customFormat="false" ht="12.75" hidden="true" customHeight="false" outlineLevel="0" collapsed="false">
      <c r="C87" s="534"/>
      <c r="D87" s="534"/>
      <c r="E87" s="534"/>
      <c r="R87" s="281" t="s">
        <v>3449</v>
      </c>
      <c r="S87" s="281"/>
      <c r="T87" s="536" t="n">
        <f aca="false">VLOOKUP($T$91,($A$23:$U$82),20,0)</f>
        <v>0</v>
      </c>
      <c r="U87" s="281"/>
      <c r="V87" s="281"/>
    </row>
    <row r="88" customFormat="false" ht="12.75" hidden="true" customHeight="false" outlineLevel="0" collapsed="false">
      <c r="C88" s="534"/>
      <c r="D88" s="534"/>
      <c r="E88" s="534"/>
      <c r="R88" s="281" t="s">
        <v>3450</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3451</v>
      </c>
      <c r="S89" s="281"/>
      <c r="T89" s="536" t="n">
        <f aca="false">MAX($V$23:$V$82)</f>
        <v>0</v>
      </c>
      <c r="U89" s="281"/>
      <c r="V89" s="0"/>
    </row>
    <row r="90" customFormat="false" ht="12.75" hidden="true" customHeight="false" outlineLevel="0" collapsed="false">
      <c r="C90" s="534"/>
      <c r="D90" s="534"/>
      <c r="E90" s="534"/>
      <c r="R90" s="281" t="s">
        <v>3452</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3453</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3454</v>
      </c>
      <c r="S92" s="281"/>
      <c r="T92" s="281" t="n">
        <f aca="false">MATCH(T89,$V$23:$V$82,0)</f>
        <v>1</v>
      </c>
      <c r="U92" s="281"/>
    </row>
    <row r="93" customFormat="false" ht="12.75" hidden="true" customHeight="false" outlineLevel="0" collapsed="false">
      <c r="C93" s="534"/>
      <c r="D93" s="534"/>
      <c r="E93" s="534"/>
      <c r="R93" s="485" t="s">
        <v>3455</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"plriphyton"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3463</v>
      </c>
      <c r="B1" s="541"/>
      <c r="C1" s="541"/>
      <c r="D1" s="541"/>
      <c r="E1" s="542" t="s">
        <v>3464</v>
      </c>
      <c r="F1" s="543" t="s">
        <v>3465</v>
      </c>
      <c r="G1" s="544"/>
      <c r="H1" s="544"/>
      <c r="I1" s="545"/>
      <c r="J1" s="545"/>
      <c r="K1" s="545"/>
      <c r="L1" s="546"/>
    </row>
    <row r="2" customFormat="false" ht="15" hidden="false" customHeight="false" outlineLevel="0" collapsed="false">
      <c r="A2" s="547" t="s">
        <v>3466</v>
      </c>
      <c r="B2" s="548"/>
      <c r="C2" s="549"/>
      <c r="D2" s="549"/>
      <c r="E2" s="550"/>
      <c r="F2" s="543" t="s">
        <v>3467</v>
      </c>
      <c r="G2" s="544"/>
      <c r="H2" s="544"/>
      <c r="I2" s="545"/>
      <c r="J2" s="545"/>
      <c r="K2" s="545"/>
      <c r="L2" s="546"/>
    </row>
    <row r="3" customFormat="false" ht="15.75" hidden="false" customHeight="false" outlineLevel="0" collapsed="false">
      <c r="A3" s="547" t="s">
        <v>3468</v>
      </c>
      <c r="B3" s="548"/>
      <c r="C3" s="549"/>
      <c r="D3" s="551" t="s">
        <v>3469</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3470</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3472</v>
      </c>
      <c r="G17" s="570"/>
      <c r="H17" s="571" t="s">
        <v>3473</v>
      </c>
      <c r="I17" s="570"/>
    </row>
    <row r="18" customFormat="false" ht="15" hidden="false" customHeight="false" outlineLevel="0" collapsed="false">
      <c r="A18" s="563"/>
      <c r="B18" s="566" t="s">
        <v>2963</v>
      </c>
      <c r="C18" s="567"/>
      <c r="D18" s="568"/>
      <c r="F18" s="572" t="s">
        <v>3474</v>
      </c>
      <c r="G18" s="573"/>
      <c r="H18" s="572" t="s">
        <v>3474</v>
      </c>
      <c r="I18" s="574"/>
    </row>
    <row r="19" customFormat="false" ht="15" hidden="false" customHeight="false" outlineLevel="0" collapsed="false">
      <c r="A19" s="563"/>
      <c r="B19" s="566" t="s">
        <v>2965</v>
      </c>
      <c r="C19" s="567"/>
      <c r="D19" s="568"/>
      <c r="F19" s="575" t="s">
        <v>3475</v>
      </c>
      <c r="G19" s="8"/>
      <c r="H19" s="575" t="s">
        <v>3475</v>
      </c>
      <c r="I19" s="576"/>
    </row>
    <row r="20" customFormat="false" ht="15" hidden="false" customHeight="false" outlineLevel="0" collapsed="false">
      <c r="A20" s="563"/>
      <c r="B20" s="566" t="s">
        <v>2969</v>
      </c>
      <c r="C20" s="567"/>
      <c r="D20" s="568"/>
      <c r="F20" s="575" t="s">
        <v>3476</v>
      </c>
      <c r="G20" s="8"/>
      <c r="H20" s="575" t="s">
        <v>3476</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2017-01-23T15:26:17Z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