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êt à Sainte Mari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'Têt à Sainte Marie'!$A$1:$O$82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'Têt à Sainte Marie'!$A$23:$J$84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<sst xmlns="http://schemas.openxmlformats.org/spreadsheetml/2006/main" count="7366" uniqueCount="2733">
  <si>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</si>
  <si>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</si>
  <si>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</si>
  <si>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</si>
  <si>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</si>
  <si>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</si>
  <si>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</si>
  <si>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</si>
  <si>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</si>
  <si>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</si>
  <si>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</si>
  <si>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</si>
  <si>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</si>
  <si>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</si>
  <si>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</si>
  <si>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</si>
  <si>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</si>
  <si>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</si>
  <si>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</si>
  <si>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</si>
  <si>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</si>
  <si>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</si>
  <si>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</si>
  <si>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</si>
  <si>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</si>
  <si>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</si>
  <si>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</si>
  <si>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</si>
  <si>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</si>
  <si>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</si>
  <si>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</si>
  <si>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</si>
  <si>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</si>
  <si>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</si>
  <si>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</si>
  <si>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</si>
  <si>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</si>
  <si>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</si>
  <si>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</si>
  <si>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</si>
  <si>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</si>
  <si>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</si>
  <si>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</si>
  <si>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</si>
  <si>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</si>
  <si>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</si>
  <si>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</si>
  <si>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</si>
  <si>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</si>
  <si>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</si>
  <si>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</si>
  <si>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</si>
  <si>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</si>
  <si>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</si>
  <si>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</si>
  <si>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</si>
  <si>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</si>
  <si>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</si>
  <si>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</si>
  <si>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</si>
  <si>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</si>
  <si>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</si>
  <si>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</si>
  <si>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</si>
  <si>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</si>
  <si>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</si>
  <si>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</si>
  <si>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</si>
  <si>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</si>
  <si>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</si>
  <si>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</si>
  <si>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</si>
  <si>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</si>
  <si>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</si>
  <si>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</si>
  <si>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</si>
  <si>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</si>
  <si>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</si>
  <si>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</si>
  <si>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</si>
  <si>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</si>
  <si>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</si>
  <si>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</si>
  <si>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</si>
  <si>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</si>
  <si>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</si>
  <si>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</si>
  <si>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</si>
  <si>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</si>
  <si>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</si>
  <si>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</si>
  <si>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</si>
  <si>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</si>
  <si>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</si>
  <si>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</si>
  <si>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</si>
  <si>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</si>
  <si>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</si>
  <si>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</si>
  <si>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</si>
  <si>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</si>
  <si>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</si>
  <si>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</si>
  <si>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</si>
  <si>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</si>
  <si>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</si>
  <si>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</si>
  <si>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</si>
  <si>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</si>
  <si>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</si>
  <si>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</si>
  <si>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</si>
  <si>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</si>
  <si>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</si>
  <si>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</si>
  <si>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</si>
  <si>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</si>
  <si>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</si>
  <si>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</si>
  <si>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</si>
  <si>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</si>
  <si>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</si>
  <si>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</si>
  <si>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</si>
  <si>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</si>
  <si>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</si>
  <si>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</si>
  <si>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</si>
  <si>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</si>
  <si>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</si>
  <si>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</si>
  <si>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</si>
  <si>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</si>
  <si>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</si>
  <si>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</si>
  <si>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</si>
  <si>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</si>
  <si>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</si>
  <si>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</si>
  <si>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</si>
  <si>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</si>
  <si>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</si>
  <si>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</si>
  <si>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</si>
  <si>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</si>
  <si>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</si>
  <si>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</si>
  <si>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</si>
  <si>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</si>
  <si>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</si>
  <si>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</si>
  <si>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</si>
  <si>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</si>
  <si>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</si>
  <si>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</si>
  <si>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</si>
  <si>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</si>
  <si>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</si>
  <si>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</si>
  <si>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</si>
  <si>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</si>
  <si>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</si>
  <si>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</si>
  <si>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</si>
  <si>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</si>
  <si>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</si>
  <si>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</si>
  <si>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</si>
  <si>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</si>
  <si>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</si>
  <si>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</si>
  <si>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</si>
  <si>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</si>
  <si>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</si>
  <si>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</si>
  <si>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</si>
  <si>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</si>
  <si>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</si>
  <si>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</si>
  <si>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</si>
  <si>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</si>
  <si>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</si>
  <si>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</si>
  <si>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</si>
  <si>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</si>
  <si>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</si>
  <si>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</si>
  <si>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</si>
  <si>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</si>
  <si>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</si>
  <si>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</si>
  <si>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</si>
  <si>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</si>
  <si>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</si>
  <si>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</si>
  <si>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</si>
  <si>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</si>
  <si>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</si>
  <si>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</si>
  <si>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</si>
  <si>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</si>
  <si>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</si>
  <si>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</si>
  <si>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</si>
  <si>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</si>
  <si>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</si>
  <si>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</si>
  <si>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</si>
  <si>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</si>
  <si>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</si>
  <si>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</si>
  <si>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</si>
  <si>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</si>
  <si>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</si>
  <si>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</si>
  <si>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</si>
  <si>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</si>
  <si>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</si>
  <si>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</si>
  <si>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</si>
  <si>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</si>
  <si>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</si>
  <si>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</si>
  <si>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</si>
  <si>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</si>
  <si>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</si>
  <si>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</si>
  <si>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</si>
  <si>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</si>
  <si>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</si>
  <si>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</si>
  <si>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</si>
  <si>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</si>
  <si>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</si>
  <si>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</si>
  <si>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</si>
  <si>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</si>
  <si>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</si>
  <si>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</si>
  <si>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</si>
  <si>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</si>
  <si>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</si>
  <si>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</si>
  <si>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</si>
  <si>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</si>
  <si>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</si>
  <si>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</si>
  <si>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</si>
  <si>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</si>
  <si>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</si>
  <si>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</si>
  <si>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</si>
  <si>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</si>
  <si>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</si>
  <si>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</si>
  <si>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</si>
  <si>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</si>
  <si>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</si>
  <si>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</si>
  <si>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</si>
  <si>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</si>
  <si>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</si>
  <si>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</si>
  <si>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</si>
  <si>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</si>
  <si>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</si>
  <si>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</si>
  <si>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</si>
  <si>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</si>
  <si>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</si>
  <si>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</si>
  <si>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</si>
  <si>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</si>
  <si>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</si>
  <si>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</si>
  <si>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</si>
  <si>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</si>
  <si>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</si>
  <si>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</si>
  <si>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</si>
  <si>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</si>
  <si>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</si>
  <si>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</si>
  <si>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</si>
  <si>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</si>
  <si>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</si>
  <si>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</si>
  <si>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</si>
  <si>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</si>
  <si>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</si>
  <si>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</si>
  <si>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</si>
  <si>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</si>
  <si>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</si>
  <si>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</si>
  <si>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</si>
  <si>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</si>
  <si>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</si>
  <si>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</si>
  <si>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</si>
  <si>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</si>
  <si>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</si>
  <si>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</si>
  <si>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</si>
  <si>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</si>
  <si>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</si>
  <si>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</si>
  <si>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</si>
  <si>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</si>
  <si>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</si>
  <si>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</si>
  <si>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</si>
  <si>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</si>
  <si>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</si>
  <si>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</si>
  <si>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</si>
  <si>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</si>
  <si>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</si>
  <si>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</si>
  <si>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</si>
  <si>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</si>
  <si>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</si>
  <si>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</si>
  <si>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</si>
  <si>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</si>
  <si>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</si>
  <si>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</si>
  <si>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</si>
  <si>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</si>
  <si>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</si>
  <si>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</si>
  <si>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</si>
  <si>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</si>
  <si>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</si>
  <si>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</si>
  <si>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</si>
  <si>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</si>
  <si>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</si>
  <si>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</si>
  <si>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</si>
  <si>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</si>
  <si>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</si>
  <si>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</si>
  <si>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</si>
  <si>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</si>
  <si>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</si>
  <si>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</si>
  <si>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</si>
  <si>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</si>
  <si>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</si>
  <si>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</si>
  <si>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</si>
  <si>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</si>
  <si>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</si>
  <si>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</si>
  <si>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</si>
  <si>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</si>
  <si>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</si>
  <si>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</si>
  <si>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</si>
  <si>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</si>
  <si>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</si>
  <si>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</si>
  <si>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</si>
  <si>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</si>
  <si>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</si>
  <si>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</si>
  <si>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</si>
  <si>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</si>
  <si>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</si>
  <si>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</si>
  <si>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</si>
  <si>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</si>
  <si>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</si>
  <si>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</si>
  <si>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</si>
  <si>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</si>
  <si>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</si>
  <si>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</si>
  <si>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</si>
  <si>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</si>
  <si>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</si>
  <si>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</si>
  <si>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</si>
  <si>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</si>
  <si>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</si>
  <si>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</si>
  <si>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</si>
  <si>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</si>
  <si>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</si>
  <si>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</si>
  <si>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</si>
  <si>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</si>
  <si>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</si>
  <si>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</si>
  <si>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</si>
  <si>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</si>
  <si>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</si>
  <si>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</si>
  <si>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</si>
  <si>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</si>
  <si>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</si>
  <si>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</si>
  <si>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</si>
  <si>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</si>
  <si>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</si>
  <si>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</si>
  <si>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</si>
  <si>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</si>
  <si>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</si>
  <si>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</si>
  <si>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</si>
  <si>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</si>
  <si>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</si>
  <si>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</si>
  <si>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</si>
  <si>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</si>
  <si>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</si>
  <si>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</si>
  <si>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</si>
  <si>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</si>
  <si>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</si>
  <si>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</si>
  <si>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</si>
  <si>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</si>
  <si>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</si>
  <si>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</si>
  <si>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</si>
  <si>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</si>
  <si>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</si>
  <si>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</si>
  <si>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</si>
  <si>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</si>
  <si>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</si>
  <si>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</si>
  <si>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</si>
  <si>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</si>
  <si>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</si>
  <si>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</si>
  <si>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</si>
  <si>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</si>
  <si>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</si>
  <si>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</si>
  <si>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</si>
  <si>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</si>
  <si>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</si>
  <si>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</si>
  <si>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</si>
  <si>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</si>
  <si>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</si>
  <si>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</si>
  <si>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</si>
  <si>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</si>
  <si>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</si>
  <si>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</si>
  <si>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</si>
  <si>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</si>
  <si>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</si>
  <si>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</si>
  <si>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</si>
  <si>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</si>
  <si>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</si>
  <si>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</si>
  <si>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</si>
  <si>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</si>
  <si>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</si>
  <si>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</si>
  <si>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</si>
  <si>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</si>
  <si>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</si>
  <si>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</si>
  <si>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</si>
  <si>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</si>
  <si>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</si>
  <si>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</si>
  <si>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</si>
  <si>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</si>
  <si>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</si>
  <si>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</si>
  <si>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</si>
  <si>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</si>
  <si>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</si>
  <si>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</si>
  <si>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</si>
  <si>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</si>
  <si>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</si>
  <si>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</si>
  <si>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</si>
  <si>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</si>
  <si>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</si>
  <si>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</si>
  <si>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</si>
  <si>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</si>
  <si>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</si>
  <si>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</si>
  <si>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</si>
  <si>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</si>
  <si>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</si>
  <si>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</si>
  <si>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</si>
  <si>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</si>
  <si>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</si>
  <si>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</si>
  <si>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</si>
  <si>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</si>
  <si>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</si>
  <si>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</si>
  <si>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</si>
  <si>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</si>
  <si>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</si>
  <si>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</si>
  <si>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</si>
  <si>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</si>
  <si>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</si>
  <si>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</si>
  <si>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</si>
  <si>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</si>
  <si>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</si>
  <si>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</si>
  <si>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</si>
  <si>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</si>
  <si>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</si>
  <si>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</si>
  <si>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</si>
  <si>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</si>
  <si>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</si>
  <si>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</si>
  <si>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</si>
  <si>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</si>
  <si>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</si>
  <si>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</si>
  <si>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</si>
  <si>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</si>
  <si>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</si>
  <si>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</si>
  <si>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</si>
  <si>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</si>
  <si>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</si>
  <si>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</si>
  <si>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</si>
  <si>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</si>
  <si>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</si>
  <si>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</si>
  <si>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</si>
  <si>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</si>
  <si>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</si>
  <si>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</si>
  <si>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</si>
  <si>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</si>
  <si>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</si>
  <si>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</si>
  <si>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</si>
  <si>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</si>
  <si>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</si>
  <si>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</si>
  <si>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</si>
  <si>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</si>
  <si>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</si>
  <si>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</si>
  <si>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</si>
  <si>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</si>
  <si>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</si>
  <si>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</si>
  <si>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</si>
  <si>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</si>
  <si>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</si>
  <si>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</si>
  <si>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</si>
  <si>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</si>
  <si>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</si>
  <si>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</si>
  <si>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</si>
  <si>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</si>
  <si>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</si>
  <si>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</si>
  <si>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</si>
  <si>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</si>
  <si>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</si>
  <si>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</si>
  <si>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</si>
  <si>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</si>
  <si>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</si>
  <si>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</si>
  <si>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</si>
  <si>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</si>
  <si>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</si>
  <si>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</si>
  <si>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</si>
  <si>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</si>
  <si>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</si>
  <si>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</si>
  <si>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</si>
  <si>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</si>
  <si>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</si>
  <si>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</si>
  <si>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</si>
  <si>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</si>
  <si>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</si>
  <si>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</si>
  <si>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</si>
  <si>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</si>
  <si>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</si>
  <si>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</si>
  <si>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</si>
  <si>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</si>
  <si>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</si>
  <si>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</si>
  <si>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</si>
  <si>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</si>
  <si>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</si>
  <si>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</si>
  <si>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</si>
  <si>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</si>
  <si>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</si>
  <si>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</si>
  <si>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</si>
  <si>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</si>
  <si>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</si>
  <si>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</si>
  <si>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</si>
  <si>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</si>
  <si>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</si>
  <si>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</si>
  <si>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</si>
  <si>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</si>
  <si>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</si>
  <si>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</si>
  <si>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</si>
  <si>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</si>
  <si>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</si>
  <si>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</si>
  <si>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</si>
  <si>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</si>
  <si>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</si>
  <si>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</si>
  <si>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</si>
  <si>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</si>
  <si>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</si>
  <si>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</si>
  <si>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</si>
  <si>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</si>
  <si>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</si>
  <si>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</si>
  <si>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</si>
  <si>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</si>
  <si>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</si>
  <si>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</si>
  <si>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</si>
  <si>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</si>
  <si>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</si>
  <si>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</si>
  <si>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</si>
  <si>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</si>
  <si>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</si>
  <si>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</si>
  <si>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</si>
  <si>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</si>
  <si>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</si>
  <si>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</si>
  <si>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</si>
  <si>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</si>
  <si>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</si>
  <si>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</si>
  <si>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</si>
  <si>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</si>
  <si>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</si>
  <si>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</si>
  <si>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</si>
  <si>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</si>
  <si>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</si>
  <si>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</si>
  <si>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</si>
  <si>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</si>
  <si>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</si>
  <si>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</si>
  <si>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</si>
  <si>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</si>
  <si>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</si>
  <si>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</si>
  <si>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</si>
  <si>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</si>
  <si>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</si>
  <si>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</si>
  <si>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</si>
  <si>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</si>
  <si>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</si>
  <si>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</si>
  <si>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</si>
  <si>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</si>
  <si>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</si>
  <si>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</si>
  <si>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</si>
  <si>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</si>
  <si>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</si>
  <si>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</si>
  <si>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</si>
  <si>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</si>
  <si>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</si>
  <si>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</si>
  <si>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</si>
  <si>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</si>
  <si>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</si>
  <si>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</si>
  <si>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</si>
  <si>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</si>
  <si>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</si>
  <si>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</si>
  <si>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</si>
  <si>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</si>
  <si>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</si>
  <si>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</si>
  <si>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</si>
  <si>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</si>
  <si>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</si>
  <si>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</si>
  <si>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</si>
  <si>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</si>
  <si>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</si>
  <si>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</si>
  <si>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</si>
  <si>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</si>
  <si>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</si>
  <si>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</si>
  <si>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</si>
  <si>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</si>
  <si>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</si>
  <si>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</si>
  <si>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</si>
  <si>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</si>
  <si>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</si>
  <si>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</si>
  <si>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</si>
  <si>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</si>
  <si>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</si>
  <si>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</si>
  <si>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</si>
  <si>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</si>
  <si>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</si>
  <si>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</si>
  <si>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</si>
  <si>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</si>
  <si>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</si>
  <si>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</si>
  <si>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</si>
  <si>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</si>
  <si>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</si>
  <si>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</si>
  <si>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</si>
  <si>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</si>
  <si>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</si>
  <si>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</si>
  <si>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</si>
  <si>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</si>
  <si>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</si>
  <si>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</si>
  <si>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</si>
  <si>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</si>
  <si>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</si>
  <si>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</si>
  <si>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</si>
  <si>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</si>
  <si>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</si>
  <si>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</si>
  <si>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</si>
  <si>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</si>
  <si>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</si>
  <si>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</si>
  <si>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</si>
  <si>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</si>
  <si>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</si>
  <si>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</si>
  <si>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</si>
  <si>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</si>
  <si>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</si>
  <si>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</si>
  <si>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</si>
  <si>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</si>
  <si>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</si>
  <si>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</si>
  <si>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</si>
  <si>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</si>
  <si>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</si>
  <si>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</si>
  <si>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</si>
  <si>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</si>
  <si>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</si>
  <si>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</si>
  <si>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</si>
  <si>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</si>
  <si>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</si>
  <si>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</si>
  <si>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</si>
  <si>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</si>
  <si>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</si>
  <si>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</si>
  <si>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</si>
  <si>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</si>
  <si>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</si>
  <si>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</si>
  <si>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</si>
  <si>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</si>
  <si>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</si>
  <si>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</si>
  <si>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</si>
  <si>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</si>
  <si>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</si>
  <si>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</si>
  <si>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</si>
  <si>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</si>
  <si>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</si>
  <si>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</si>
  <si>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</si>
  <si>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</si>
  <si>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</si>
  <si>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</si>
  <si>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</si>
  <si>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</si>
  <si>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</si>
  <si>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</si>
  <si>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</si>
  <si>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</si>
  <si>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</si>
  <si>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</si>
  <si>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</si>
  <si>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</si>
  <si>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</si>
  <si>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</si>
  <si>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</si>
  <si>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</si>
  <si>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</si>
  <si>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</si>
  <si>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</si>
  <si>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</si>
  <si>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</si>
  <si>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</si>
  <si>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</si>
  <si>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</si>
  <si>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</si>
  <si>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</si>
  <si>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</si>
  <si>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</si>
  <si>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</si>
  <si>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</si>
  <si>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</si>
  <si>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</si>
  <si>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</si>
  <si>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</si>
  <si>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</si>
  <si>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</si>
  <si>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</si>
  <si>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</si>
  <si>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</si>
  <si>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</si>
  <si>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</si>
  <si>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</si>
  <si>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</si>
  <si>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</si>
  <si>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</si>
  <si>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</si>
  <si>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</si>
  <si>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</si>
  <si>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</si>
  <si>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</si>
  <si>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</si>
  <si>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</si>
  <si>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</si>
  <si>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</si>
  <si>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</si>
  <si>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</si>
  <si>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</si>
  <si>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</si>
  <si>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</si>
  <si>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</si>
  <si>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</si>
  <si>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</si>
  <si>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</si>
  <si>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</si>
  <si>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</si>
  <si>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</si>
  <si>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</si>
  <si>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</si>
  <si>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</si>
  <si>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</si>
  <si>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</si>
  <si>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</si>
  <si>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</si>
  <si>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</si>
  <si>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</si>
  <si>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</si>
  <si>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</si>
  <si>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</si>
  <si>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</si>
  <si>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</si>
  <si>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</si>
  <si>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</si>
  <si>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</si>
  <si>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</si>
  <si>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</si>
  <si>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</si>
  <si>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</si>
  <si>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</si>
  <si>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</si>
  <si>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</si>
  <si>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</si>
  <si>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</si>
  <si>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</si>
  <si>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</si>
  <si>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</si>
  <si>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</si>
  <si>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</si>
  <si>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</si>
  <si>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</si>
  <si>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</si>
  <si>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</si>
  <si>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</si>
  <si>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</si>
  <si>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</si>
  <si>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</si>
  <si>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</si>
  <si>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</si>
  <si>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</si>
  <si>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</si>
  <si>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</si>
  <si>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</si>
  <si>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</si>
  <si>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</si>
  <si>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</si>
  <si>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</si>
  <si>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</si>
  <si>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</si>
  <si>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</si>
  <si>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</si>
  <si>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</si>
  <si>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</si>
  <si>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</si>
  <si>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</si>
  <si>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</si>
  <si>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</si>
  <si>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</si>
  <si>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</si>
  <si>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</si>
  <si>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</si>
  <si>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</si>
  <si>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</si>
  <si>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</si>
  <si>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</si>
  <si>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</si>
  <si>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</si>
  <si>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</si>
  <si>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</si>
  <si>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</si>
  <si>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</si>
  <si>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</si>
  <si>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</si>
  <si>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</si>
  <si>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</si>
  <si>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</si>
  <si>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</si>
  <si>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</si>
  <si>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</si>
  <si>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</si>
  <si>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</si>
  <si>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</si>
  <si>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</si>
  <si>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</si>
  <si>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</si>
  <si>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</si>
  <si>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</si>
  <si>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</si>
  <si>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</si>
  <si>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</si>
  <si>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</si>
  <si>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</si>
  <si>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</si>
  <si>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</si>
  <si>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</si>
  <si>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</si>
  <si>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</si>
  <si>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</si>
  <si>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</si>
  <si>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</si>
  <si>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</si>
  <si>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</si>
  <si>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</si>
  <si>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</si>
  <si>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</si>
  <si>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</si>
  <si>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</si>
  <si>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</si>
  <si>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</si>
  <si>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</si>
  <si>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</si>
  <si>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</si>
  <si>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</si>
  <si>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</si>
  <si>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</si>
  <si>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</si>
  <si>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</si>
  <si>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</si>
  <si>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</si>
  <si>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</si>
  <si>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</si>
  <si>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</si>
  <si>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</si>
  <si>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</si>
  <si>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</si>
  <si>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</si>
  <si>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</si>
  <si>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</si>
  <si>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</si>
  <si>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</si>
  <si>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</si>
  <si>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</si>
  <si>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</si>
  <si>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</si>
  <si>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</si>
  <si>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</si>
  <si>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</si>
  <si>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</si>
  <si>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</si>
  <si>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</si>
  <si>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</si>
  <si>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</si>
  <si>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</si>
  <si>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</si>
  <si>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</si>
  <si>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</si>
  <si>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</si>
  <si>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</si>
  <si>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</si>
  <si>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</si>
  <si>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</si>
  <si>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</si>
  <si>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</si>
  <si>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</si>
  <si>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</si>
  <si>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</si>
  <si>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</si>
  <si>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</si>
  <si>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</si>
  <si>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</si>
  <si>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</si>
  <si>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</si>
  <si>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</si>
  <si>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</si>
  <si>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</si>
  <si>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</si>
  <si>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</si>
  <si>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</si>
  <si>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</si>
  <si>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</si>
  <si>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</si>
  <si>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</si>
  <si>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</si>
  <si>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</si>
  <si>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</si>
  <si>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</si>
  <si>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</si>
  <si>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</si>
  <si>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</si>
  <si>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</si>
  <si>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</si>
  <si>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</si>
  <si>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</si>
  <si>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</si>
  <si>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</si>
  <si>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</si>
  <si>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</si>
  <si>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</si>
  <si>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</si>
  <si>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</si>
  <si>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</si>
  <si>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</si>
  <si>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</si>
  <si>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</si>
  <si>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</si>
  <si>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</si>
  <si>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</si>
  <si>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</si>
  <si>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</si>
  <si>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</si>
  <si>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</si>
  <si>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</si>
  <si>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</si>
  <si>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</si>
  <si>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</si>
  <si>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</si>
  <si>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</si>
  <si>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</si>
  <si>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</si>
  <si>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</si>
  <si>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</si>
  <si>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</si>
  <si>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</si>
  <si>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</si>
  <si>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</si>
  <si>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</si>
  <si>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</si>
  <si>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</si>
  <si>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</si>
  <si>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</si>
  <si>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</si>
  <si>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</si>
  <si>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</si>
  <si>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</si>
  <si>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</si>
  <si>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</si>
  <si>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</si>
  <si>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</si>
  <si>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</si>
  <si>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</si>
  <si>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</si>
  <si>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</si>
  <si>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</si>
  <si>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</si>
  <si>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</si>
  <si>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</si>
  <si>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</si>
  <si>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</si>
  <si>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</si>
  <si>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</si>
  <si>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</si>
  <si>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</si>
  <si>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</si>
  <si>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</si>
  <si>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</si>
  <si>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</si>
  <si>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</si>
  <si>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</si>
  <si>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</si>
  <si>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</si>
  <si>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</si>
  <si>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</si>
  <si>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</si>
  <si>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</si>
  <si>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</si>
  <si>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</si>
  <si>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</si>
  <si>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</si>
  <si>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</si>
  <si>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</si>
  <si>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</si>
  <si>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</si>
  <si>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</si>
  <si>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</si>
  <si>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</si>
  <si>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</si>
  <si>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</si>
  <si>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</si>
  <si>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</si>
  <si>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</si>
  <si>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</si>
  <si>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</si>
  <si>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</si>
  <si>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</si>
  <si>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</si>
  <si>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</si>
  <si>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</si>
  <si>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</si>
  <si>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</si>
  <si>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</si>
  <si>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</si>
  <si>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</si>
  <si>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</si>
  <si>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</si>
  <si>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</si>
  <si>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</si>
  <si>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</si>
  <si>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</si>
  <si>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</si>
  <si>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</si>
  <si>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</si>
  <si>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</si>
  <si>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</si>
  <si>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</si>
  <si>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</si>
  <si>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</si>
  <si>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</si>
  <si>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</si>
  <si>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</si>
  <si>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</si>
  <si>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</si>
  <si>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</si>
  <si>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</si>
  <si>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</si>
  <si>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</si>
  <si>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</si>
  <si>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</si>
  <si>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</si>
  <si>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</si>
  <si>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</si>
  <si>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</si>
  <si>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</si>
  <si>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</si>
  <si>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</si>
  <si>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</si>
  <si>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</si>
  <si>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</si>
  <si>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</si>
  <si>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</si>
  <si>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</si>
  <si>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</si>
  <si>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</si>
  <si>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</si>
  <si>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</si>
  <si>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</si>
  <si>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</si>
  <si>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</si>
  <si>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</si>
  <si>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</si>
  <si>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</si>
  <si>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</si>
  <si>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</si>
  <si>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</si>
  <si>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</si>
  <si>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</si>
  <si>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</si>
  <si>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</si>
  <si>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</si>
  <si>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</si>
  <si>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</si>
  <si>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</si>
  <si>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</si>
  <si>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</si>
  <si>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</si>
  <si>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</si>
  <si>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</si>
  <si>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</si>
  <si>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</si>
  <si>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</si>
  <si>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</si>
  <si>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</si>
  <si>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</si>
  <si>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</si>
  <si>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</si>
  <si>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</si>
  <si>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</si>
  <si>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</si>
  <si>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</si>
  <si>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</si>
  <si>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</si>
  <si>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</si>
  <si>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</si>
  <si>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</si>
  <si>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</si>
  <si>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</si>
  <si>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</si>
  <si>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</si>
  <si>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</si>
  <si>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</si>
  <si>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</si>
  <si>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</si>
  <si>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</si>
  <si>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</si>
  <si>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</si>
  <si>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</si>
  <si>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</si>
  <si>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</si>
  <si>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</si>
  <si>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</si>
  <si>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</si>
  <si>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</si>
  <si>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</si>
  <si>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</si>
  <si>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</si>
  <si>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</si>
  <si>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</si>
  <si>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</si>
  <si>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</si>
  <si>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</si>
  <si>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</si>
  <si>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</si>
  <si>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</si>
  <si>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</si>
  <si>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</si>
  <si>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</si>
  <si>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</si>
  <si>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</si>
  <si>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</si>
  <si>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</si>
  <si>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</si>
  <si>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</si>
  <si>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</si>
  <si>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</si>
  <si>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</si>
  <si>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</si>
  <si>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</si>
  <si>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</si>
  <si>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</si>
  <si>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</si>
  <si>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</si>
  <si>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</si>
  <si>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</si>
  <si>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</si>
  <si>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</si>
  <si>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</si>
  <si>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</si>
  <si>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</si>
  <si>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</si>
  <si>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</si>
  <si>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</si>
  <si>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</si>
  <si>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</si>
  <si>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</si>
  <si>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</si>
  <si>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</si>
  <si>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</si>
  <si>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</si>
  <si>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</si>
  <si>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</si>
  <si>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</si>
  <si>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</si>
  <si>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</si>
  <si>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</si>
  <si>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</si>
  <si>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</si>
  <si>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</si>
  <si>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</si>
  <si>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</si>
  <si>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</si>
  <si>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</si>
  <si>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</si>
  <si>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</si>
  <si>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</si>
  <si>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</si>
  <si>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</si>
  <si>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</si>
  <si>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</si>
  <si>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</si>
  <si>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</si>
  <si>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</si>
  <si>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</si>
  <si>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</si>
  <si>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</si>
  <si>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</si>
  <si>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</si>
  <si>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</si>
  <si>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</si>
  <si>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</si>
  <si>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</si>
  <si>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</si>
  <si>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</si>
  <si>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</si>
  <si>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</si>
  <si>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</si>
  <si>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</si>
  <si>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</si>
  <si>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</si>
  <si>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</si>
  <si>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</si>
  <si>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</si>
  <si>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</si>
  <si>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</si>
  <si>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</si>
  <si>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</si>
  <si>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</si>
  <si>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</si>
  <si>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</si>
  <si>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</si>
  <si>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</si>
  <si>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</si>
  <si>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</si>
  <si>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</si>
  <si>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</si>
  <si>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</si>
  <si>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</si>
  <si>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</si>
  <si>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</si>
  <si>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</si>
  <si>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</si>
  <si>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</si>
  <si>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</si>
  <si>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</si>
  <si>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</si>
  <si>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</si>
  <si>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</si>
  <si>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</si>
  <si>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</si>
  <si>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</si>
  <si>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</si>
  <si>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</si>
  <si>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</si>
  <si>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</si>
  <si>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</si>
  <si>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</si>
  <si>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</si>
  <si>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</si>
  <si>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</si>
  <si>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</si>
  <si>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</si>
  <si>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</si>
  <si>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</si>
  <si>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</si>
  <si>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</si>
  <si>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</si>
  <si>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</si>
  <si>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</si>
  <si>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</si>
  <si>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</si>
  <si>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</si>
  <si>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</si>
  <si>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</si>
  <si>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</si>
  <si>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</si>
  <si>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</si>
  <si>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</si>
  <si>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</si>
  <si>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</si>
  <si>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</si>
  <si>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</si>
  <si>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</si>
  <si>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</si>
  <si>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</si>
  <si>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</si>
  <si>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</si>
  <si>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</si>
  <si>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</si>
  <si>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</si>
  <si>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</si>
  <si>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</si>
  <si>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</si>
  <si>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</si>
  <si>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</si>
  <si>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</si>
  <si>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</si>
  <si>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</si>
  <si>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</si>
  <si>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</si>
  <si>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</si>
  <si>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</si>
  <si>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</si>
  <si>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</si>
  <si>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</si>
  <si>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</si>
  <si>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</si>
  <si>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</si>
  <si>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</si>
  <si>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</si>
  <si>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</si>
  <si>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</si>
  <si>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</si>
  <si>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</si>
  <si>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</si>
  <si>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</si>
  <si>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</si>
  <si>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</si>
  <si>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</si>
  <si>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</si>
  <si>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</si>
  <si>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</si>
  <si>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</si>
  <si>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</si>
  <si>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</si>
  <si>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</si>
  <si>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</si>
  <si>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</si>
  <si>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</si>
  <si>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</si>
  <si>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</si>
  <si>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</si>
  <si>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</si>
  <si>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</si>
  <si>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</si>
  <si>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</si>
  <si>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</si>
  <si>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</si>
  <si>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</si>
  <si>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</si>
  <si>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</si>
  <si>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</si>
  <si>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</si>
  <si>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</si>
  <si>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</si>
  <si>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</si>
  <si>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</si>
  <si>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</si>
  <si>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</si>
  <si>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</si>
  <si>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</si>
  <si>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</si>
  <si>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</si>
  <si>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</si>
  <si>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</si>
  <si>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</si>
  <si>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</si>
  <si>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</si>
  <si>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</si>
  <si>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</si>
  <si>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</si>
  <si>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</si>
  <si>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</si>
  <si>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</si>
  <si>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</si>
  <si>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</si>
  <si>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</si>
  <si>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</si>
  <si>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</si>
  <si>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</si>
  <si>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</si>
  <si>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</si>
  <si>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</si>
  <si>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</si>
  <si>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</si>
  <si>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</si>
  <si>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</si>
  <si>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</si>
  <si>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</si>
  <si>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</si>
  <si>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</si>
  <si>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</si>
  <si>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</si>
  <si>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</si>
  <si>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</si>
  <si>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</si>
  <si>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</si>
  <si>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</si>
  <si>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</si>
  <si>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</si>
  <si>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</si>
  <si>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</si>
  <si>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</si>
  <si>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</si>
  <si>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</si>
  <si>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</si>
  <si>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</si>
  <si>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</si>
  <si>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</si>
  <si>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</si>
  <si>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</si>
  <si>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</si>
  <si>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</si>
  <si>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</si>
  <si>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</si>
  <si>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</si>
  <si>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</si>
  <si>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</si>
  <si>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</si>
  <si>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</si>
  <si>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</si>
  <si>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</si>
  <si>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</si>
  <si>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</si>
  <si>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</si>
  <si>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</si>
  <si>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</si>
  <si>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</si>
  <si>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</si>
  <si>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</si>
  <si>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</si>
  <si>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</si>
  <si>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</si>
  <si>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</si>
  <si>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</si>
  <si>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</si>
  <si>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</si>
  <si>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</si>
  <si>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</si>
  <si>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</si>
  <si>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</si>
  <si>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</si>
  <si>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</si>
  <si>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</si>
  <si>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</si>
  <si>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</si>
  <si>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</si>
  <si>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</si>
  <si>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</si>
  <si>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</si>
  <si>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</si>
  <si>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</si>
  <si>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</si>
  <si>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</si>
  <si>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</si>
  <si>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</si>
  <si>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</si>
  <si>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</si>
  <si>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</si>
  <si>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</si>
  <si>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</si>
  <si>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</si>
  <si>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</si>
  <si>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</si>
  <si>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</si>
  <si>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</si>
  <si>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</si>
  <si>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</si>
  <si>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</si>
  <si>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</si>
  <si>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</si>
  <si>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</si>
  <si>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</si>
  <si>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</si>
  <si>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</si>
  <si>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</si>
  <si>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</si>
  <si>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</si>
  <si>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</si>
  <si>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</si>
  <si>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</si>
  <si>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</si>
  <si>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</si>
  <si>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</si>
  <si>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</si>
  <si>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</si>
  <si>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</si>
  <si>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</si>
  <si>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</si>
  <si>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</si>
  <si>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</si>
  <si>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</si>
  <si>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</si>
  <si>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</si>
  <si>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</si>
  <si>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</si>
  <si>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</si>
  <si>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</si>
  <si>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</si>
  <si>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</si>
  <si>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</si>
  <si>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</si>
  <si>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</si>
  <si>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</si>
  <si>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</si>
  <si>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</si>
  <si>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</si>
  <si>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</si>
  <si>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</si>
  <si>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</si>
  <si>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</si>
  <si>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</si>
  <si>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</si>
  <si>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</si>
  <si>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</si>
  <si>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</si>
  <si>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</si>
  <si>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</si>
  <si>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</si>
  <si>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</si>
  <si>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</si>
  <si>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</si>
  <si>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</si>
  <si>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</si>
  <si>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</si>
  <si>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</si>
  <si>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</si>
  <si>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</si>
  <si>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</si>
  <si>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</si>
  <si>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</si>
  <si>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</si>
  <si>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</si>
  <si>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</si>
  <si>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</si>
  <si>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</si>
  <si>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</si>
  <si>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</si>
  <si>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</si>
  <si>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</si>
  <si>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</si>
  <si>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</si>
  <si>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</si>
  <si>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</si>
  <si>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</si>
  <si>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</si>
  <si>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</si>
  <si>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</si>
  <si>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</si>
  <si>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</si>
  <si>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</si>
  <si>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</si>
  <si>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</si>
  <si>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</si>
  <si>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</si>
  <si>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</si>
  <si>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</si>
  <si>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</si>
  <si>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</si>
  <si>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</si>
  <si>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</si>
  <si>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</si>
  <si>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</si>
  <si>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</si>
  <si>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</si>
  <si>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</si>
  <si>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</si>
  <si>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</si>
  <si>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</si>
  <si>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</si>
  <si>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</si>
  <si>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</si>
  <si>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</si>
  <si>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</si>
  <si>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</si>
  <si>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</si>
  <si>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</si>
  <si>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</si>
  <si>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</si>
  <si>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</si>
  <si>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</si>
  <si>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</si>
  <si>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</si>
  <si>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</si>
  <si>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</si>
  <si>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</si>
  <si>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</si>
  <si>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</si>
  <si>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</si>
  <si>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</si>
  <si>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</si>
  <si>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</si>
  <si>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</si>
  <si>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</si>
  <si>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</si>
  <si>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</si>
  <si>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</si>
  <si>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</si>
  <si>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</si>
  <si>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</si>
  <si>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</si>
  <si>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</si>
  <si>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</si>
  <si>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</si>
  <si>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</si>
  <si>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</si>
  <si>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</si>
  <si>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</si>
  <si>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</si>
  <si>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</si>
  <si>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</si>
  <si>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</si>
  <si>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</si>
  <si>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</si>
  <si>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</si>
  <si>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</si>
  <si>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</si>
  <si>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</si>
  <si>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</si>
  <si>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</si>
  <si>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</si>
  <si>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</si>
  <si>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</si>
  <si>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</si>
  <si>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</si>
  <si>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</si>
  <si>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</si>
  <si>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</si>
  <si>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</si>
  <si>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</si>
  <si>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</si>
  <si>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</si>
  <si>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</si>
  <si>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</si>
  <si>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</si>
  <si>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</si>
  <si>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</si>
  <si>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</si>
  <si>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</si>
  <si>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</si>
  <si>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</si>
  <si>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</si>
  <si>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</si>
  <si>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</si>
  <si>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</si>
  <si>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</si>
  <si>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</si>
  <si>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</si>
  <si>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</si>
  <si>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</si>
  <si>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</si>
  <si>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</si>
  <si>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</si>
  <si>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</si>
  <si>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</si>
  <si>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</si>
  <si>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</si>
  <si>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</si>
  <si>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</si>
  <si>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</si>
  <si>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</si>
  <si>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</si>
  <si>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</si>
  <si>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</si>
  <si>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</si>
  <si>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</si>
  <si>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</si>
  <si>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</si>
  <si>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</si>
  <si>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</si>
  <si>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</si>
  <si>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</si>
  <si>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</si>
  <si>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</si>
  <si>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</si>
  <si>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</si>
  <si>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</si>
  <si>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</si>
  <si>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</si>
  <si>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</si>
  <si>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</si>
  <si>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</si>
  <si>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</si>
  <si>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</si>
  <si>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</si>
  <si>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</si>
  <si>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</si>
  <si>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</si>
  <si>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</si>
  <si>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</si>
  <si>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</si>
  <si>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</si>
  <si>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</si>
  <si>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</si>
  <si>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</si>
  <si>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</si>
  <si>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</si>
  <si>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</si>
  <si>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</si>
  <si>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</si>
  <si>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</si>
  <si>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</si>
  <si>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</si>
  <si>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</si>
  <si>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</si>
  <si>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</si>
  <si>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</si>
  <si>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</si>
  <si>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</si>
  <si>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</si>
  <si>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</si>
  <si>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</si>
  <si>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</si>
  <si>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</si>
  <si>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</si>
  <si>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</si>
  <si>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</si>
  <si>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</si>
  <si>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</si>
  <si>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</si>
  <si>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</si>
  <si>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</si>
  <si>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</si>
  <si>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</si>
  <si>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</si>
  <si>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</si>
  <si>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</si>
  <si>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</si>
  <si>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</si>
  <si>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</si>
  <si>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</si>
  <si>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</si>
  <si>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</si>
  <si>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</si>
  <si>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</si>
  <si>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</si>
  <si>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</si>
  <si>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</si>
  <si>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</si>
  <si>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</si>
  <si>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</si>
  <si>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</si>
  <si>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</si>
  <si>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</si>
  <si>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</si>
  <si>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</si>
  <si>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</si>
  <si>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</si>
  <si>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</si>
  <si>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</si>
  <si>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</si>
  <si>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</si>
  <si>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</si>
  <si>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</si>
  <si>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</si>
  <si>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</si>
  <si>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</si>
  <si>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</si>
  <si>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</si>
  <si>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</si>
  <si>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</si>
  <si>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</si>
  <si>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</si>
  <si>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</si>
  <si>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</si>
  <si>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</si>
  <si>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</si>
  <si>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</si>
  <si>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</si>
  <si>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</si>
  <si>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</si>
  <si>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</si>
  <si>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</si>
  <si>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</si>
  <si>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</si>
  <si>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</si>
  <si>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</si>
  <si>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</si>
  <si>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</si>
  <si>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</si>
  <si>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</si>
  <si>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</si>
  <si>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</si>
  <si>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</si>
  <si>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</si>
  <si>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</si>
  <si>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</si>
  <si>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</si>
  <si>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</si>
  <si>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</si>
  <si>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</si>
  <si>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</si>
  <si>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</si>
  <si>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</si>
  <si>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</si>
  <si>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</si>
  <si>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</si>
  <si>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</si>
  <si>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</si>
  <si>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</si>
  <si>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</si>
  <si>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</si>
  <si>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</si>
  <si>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</si>
  <si>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</si>
  <si>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</si>
  <si>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</si>
  <si>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</si>
  <si>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</si>
  <si>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</si>
  <si>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</si>
  <si>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</si>
  <si>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</si>
  <si>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</si>
  <si>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</si>
  <si>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</si>
  <si>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</si>
  <si>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</si>
  <si>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</si>
  <si>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</si>
  <si>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</si>
  <si>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</si>
  <si>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</si>
  <si>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</si>
  <si>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</si>
  <si>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</si>
  <si>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</si>
  <si>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</si>
  <si>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</si>
  <si>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</si>
  <si>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</si>
  <si>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</si>
  <si>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</si>
  <si>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</si>
  <si>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</si>
  <si>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</si>
  <si>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</si>
  <si>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</si>
  <si>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</si>
  <si>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</si>
  <si>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</si>
  <si>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</si>
  <si>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</si>
  <si>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</si>
  <si>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</si>
  <si>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</si>
  <si>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</si>
  <si>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</si>
  <si>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</si>
  <si>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</si>
  <si>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</si>
  <si>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</si>
  <si>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</si>
  <si>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</si>
  <si>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</si>
  <si>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</si>
  <si>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</si>
  <si>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</si>
  <si>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</si>
  <si>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</si>
  <si>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</si>
  <si>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</si>
  <si>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</si>
  <si>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</si>
  <si>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</si>
  <si>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</si>
  <si>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</si>
  <si>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</si>
  <si>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</si>
  <si>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</si>
  <si>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</si>
  <si>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</si>
  <si>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</si>
  <si>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</si>
  <si>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</si>
  <si>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</si>
  <si>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</si>
  <si>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</si>
  <si>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</si>
  <si>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</si>
  <si>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</si>
  <si>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</si>
  <si>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</si>
  <si>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</si>
  <si>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</si>
  <si>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</si>
  <si>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</si>
  <si>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</si>
  <si>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</si>
  <si>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</si>
  <si>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</si>
  <si>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</si>
  <si>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</si>
  <si>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</si>
  <si>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</si>
  <si>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</si>
  <si>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</si>
  <si>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</si>
  <si>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</si>
  <si>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</si>
  <si>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</si>
  <si>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</si>
  <si>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</si>
  <si>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</si>
  <si>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</si>
  <si>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</si>
  <si>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</si>
  <si>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</si>
  <si>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</si>
  <si>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</si>
  <si>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</si>
  <si>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</si>
  <si>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</si>
  <si>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</si>
  <si>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</si>
  <si>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</si>
  <si>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</si>
  <si>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</si>
  <si>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</si>
  <si>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</si>
  <si>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</si>
  <si>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</si>
  <si>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</si>
  <si>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</si>
  <si>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</si>
  <si>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</si>
  <si>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</si>
  <si>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</si>
  <si>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</si>
  <si>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</si>
  <si>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</si>
  <si>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</si>
  <si>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</si>
  <si>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</si>
  <si>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</si>
  <si>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</si>
  <si>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</si>
  <si>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</si>
  <si>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</si>
  <si>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</si>
  <si>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</si>
  <si>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</si>
  <si>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</si>
  <si>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</si>
  <si>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</si>
  <si>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</si>
  <si>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</si>
  <si>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</si>
  <si>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</si>
  <si>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</si>
  <si>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</si>
  <si>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</si>
  <si>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</si>
  <si>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</si>
  <si>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</si>
  <si>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</si>
  <si>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</si>
  <si>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</si>
  <si>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</si>
  <si>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</si>
  <si>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</si>
  <si>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</si>
  <si>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</si>
  <si>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</si>
  <si>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</si>
  <si>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</si>
  <si>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</si>
  <si>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</si>
  <si>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</si>
  <si>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</si>
  <si>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</si>
  <si>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</si>
  <si>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</si>
  <si>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</si>
  <si>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</si>
  <si>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</si>
  <si>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</si>
  <si>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</si>
  <si>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</si>
  <si>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</si>
  <si>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</si>
  <si>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</si>
  <si>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</si>
  <si>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</si>
  <si>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</si>
  <si>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</si>
  <si>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</si>
  <si>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</si>
  <si>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</si>
  <si>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</si>
  <si>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</si>
  <si>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</si>
  <si>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</si>
  <si>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</si>
  <si>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</si>
  <si>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</si>
  <si>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</si>
  <si>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</si>
  <si>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</si>
  <si>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</si>
  <si>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</si>
  <si>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</si>
  <si>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</si>
  <si>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</si>
  <si>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</si>
  <si>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</si>
  <si>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</si>
  <si>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</si>
  <si>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</si>
  <si>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</si>
  <si>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</si>
  <si>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</si>
  <si>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</si>
  <si>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</si>
  <si>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</si>
  <si>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</si>
  <si>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</si>
  <si>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</si>
  <si>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</si>
  <si>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</si>
  <si>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</si>
  <si>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</si>
  <si>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</si>
  <si>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</si>
  <si>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</si>
  <si>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</si>
  <si>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</si>
  <si>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</si>
  <si>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</si>
  <si>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</si>
  <si>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</si>
  <si>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</si>
  <si>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</si>
  <si>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</si>
  <si>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</si>
  <si>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</si>
  <si>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</si>
  <si>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</si>
  <si>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</si>
  <si>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</si>
  <si>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</si>
  <si>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</si>
  <si>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</si>
  <si>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</si>
  <si>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</si>
  <si>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</si>
  <si>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</si>
  <si>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</si>
  <si>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</si>
  <si>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</si>
  <si>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</si>
  <si>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</si>
  <si>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</si>
  <si>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</si>
  <si>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</si>
  <si>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</si>
  <si>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</si>
  <si>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</si>
  <si>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</si>
  <si>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</si>
  <si>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</si>
  <si>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</si>
  <si>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</si>
  <si>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</si>
  <si>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</si>
  <si>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</si>
  <si>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</si>
  <si>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</si>
  <si>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</si>
  <si>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</si>
  <si>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</si>
  <si>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</si>
  <si>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</si>
  <si>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</si>
  <si>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</si>
  <si>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</si>
  <si>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</si>
  <si>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</si>
  <si>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</si>
  <si>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</si>
  <si>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</si>
  <si>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</si>
  <si>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</si>
  <si>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</si>
  <si>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</si>
  <si>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</si>
  <si>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</si>
  <si>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</si>
  <si>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</si>
  <si>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</si>
  <si>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</si>
  <si>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</si>
  <si>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</si>
  <si>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</si>
  <si>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</si>
  <si>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</si>
  <si>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</si>
  <si>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</si>
  <si>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</si>
  <si>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</si>
  <si>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</si>
  <si>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</si>
  <si>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</si>
  <si>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</si>
  <si>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</si>
  <si>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</si>
  <si>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</si>
  <si>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</si>
  <si>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</si>
  <si>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</si>
  <si>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</si>
  <si>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</si>
  <si>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</si>
  <si>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</si>
  <si>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</si>
  <si>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</si>
  <si>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</si>
  <si>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</si>
  <si>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</si>
  <si>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</si>
  <si>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</si>
  <si>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</si>
  <si>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</si>
  <si>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</si>
  <si>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</si>
  <si>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</si>
  <si>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</si>
  <si>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</si>
  <si>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</si>
  <si>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</si>
  <si>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</si>
  <si>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</si>
  <si>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</si>
  <si>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</si>
  <si>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</si>
  <si>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</si>
  <si>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</si>
  <si>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</si>
  <si>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</si>
  <si>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</si>
  <si>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</si>
  <si>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</si>
  <si>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</si>
  <si>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</si>
  <si>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</si>
  <si>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</si>
  <si>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</si>
  <si>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</si>
  <si>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</si>
  <si>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</si>
  <si>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</si>
  <si>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</si>
  <si>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</si>
  <si>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</si>
  <si>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</si>
  <si>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</si>
  <si>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</si>
  <si>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</si>
  <si>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</si>
  <si>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</si>
  <si>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</si>
  <si>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</si>
  <si>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</si>
  <si>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</si>
  <si>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</si>
  <si>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</si>
  <si>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</si>
  <si>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</si>
  <si>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</si>
  <si>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</si>
  <si>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</si>
  <si>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</si>
  <si>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</si>
  <si>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</si>
  <si>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</si>
  <si>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</si>
  <si>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</si>
  <si>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</si>
  <si>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</si>
  <si>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</si>
  <si>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</si>
  <si>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</si>
  <si>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</si>
  <si>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</si>
  <si>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</si>
  <si>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</si>
  <si>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</si>
  <si>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</si>
  <si>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</si>
  <si>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</si>
  <si>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</si>
  <si>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</si>
  <si>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</si>
  <si>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</si>
  <si>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</si>
  <si>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</si>
  <si>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</si>
  <si>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</si>
  <si>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</si>
  <si>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</si>
  <si>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</si>
  <si>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</si>
  <si>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</si>
  <si>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</si>
  <si>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</si>
  <si>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</si>
  <si>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</si>
  <si>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</si>
  <si>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</si>
  <si>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</si>
  <si>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</si>
  <si>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</si>
  <si>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</si>
  <si>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</si>
  <si>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</si>
  <si>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</si>
  <si>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</si>
  <si>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</si>
  <si>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</si>
  <si>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</si>
  <si>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</si>
  <si>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</si>
  <si>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</si>
  <si>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</si>
  <si>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</si>
  <si>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</si>
  <si>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</si>
  <si>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</si>
  <si>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</si>
  <si>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</si>
  <si>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</si>
  <si>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</si>
  <si>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</si>
  <si>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</si>
  <si>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</si>
  <si>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</si>
  <si>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</si>
  <si>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</si>
  <si>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</si>
  <si>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</si>
  <si>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</si>
  <si>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</si>
  <si>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</si>
  <si>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</si>
  <si>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</si>
  <si>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</si>
  <si>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</si>
  <si>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</si>
  <si>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</si>
  <si>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</si>
  <si>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</si>
  <si>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</si>
  <si>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</si>
  <si>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</si>
  <si>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</si>
  <si>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</si>
  <si>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</si>
  <si>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</si>
  <si>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</si>
  <si>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</si>
  <si>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</si>
  <si>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</si>
  <si>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</si>
  <si>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</si>
  <si>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</si>
  <si>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</si>
  <si>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</si>
  <si>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</si>
  <si>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</si>
  <si>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</si>
  <si>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</si>
  <si>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</si>
  <si>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</si>
  <si>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</si>
  <si>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</si>
  <si>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</si>
  <si>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</si>
  <si>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</si>
  <si>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</si>
  <si>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</si>
  <si>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</si>
  <si>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</si>
  <si>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</si>
  <si>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</si>
  <si>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</si>
  <si>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</si>
  <si>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</si>
  <si>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</si>
  <si>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</si>
  <si>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</si>
  <si>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</si>
  <si>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</si>
  <si>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</si>
  <si>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</si>
  <si>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</si>
  <si>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</si>
  <si>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</si>
  <si>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</si>
  <si>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</si>
  <si>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</si>
  <si>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</si>
  <si>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</si>
  <si>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</si>
  <si>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</si>
  <si>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</si>
  <si>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</si>
  <si>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</si>
  <si>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</si>
  <si>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</si>
  <si>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</si>
  <si>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</si>
  <si>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</si>
  <si>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</si>
  <si>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</si>
  <si>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</si>
  <si>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</si>
  <si>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</si>
  <si>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</si>
  <si>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</si>
  <si>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</si>
  <si>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</si>
  <si>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</si>
  <si>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</si>
  <si>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</si>
  <si>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</si>
  <si>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</si>
  <si>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</si>
  <si>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</si>
  <si>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</si>
  <si>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</si>
  <si>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</si>
  <si>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</si>
  <si>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</si>
  <si>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</si>
  <si>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</si>
  <si>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</si>
  <si>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</si>
  <si>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</si>
  <si>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</si>
  <si>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</si>
  <si>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</si>
  <si>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</si>
  <si>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</si>
  <si>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</si>
  <si>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</si>
  <si>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</si>
  <si>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</si>
  <si>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</si>
  <si>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</si>
  <si>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</si>
  <si>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</si>
  <si>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</si>
  <si>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</si>
  <si>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</si>
  <si>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</si>
  <si>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</si>
  <si>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</si>
  <si>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</si>
  <si>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</si>
  <si>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</si>
  <si>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</si>
  <si>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</si>
  <si>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</si>
  <si>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</si>
  <si>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</si>
  <si>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</si>
  <si>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</si>
  <si>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</si>
  <si>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</si>
  <si>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</si>
  <si>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</si>
  <si>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</si>
  <si>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</si>
  <si>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</si>
  <si>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</si>
  <si>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</si>
  <si>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</si>
  <si>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</si>
  <si>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</si>
  <si>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</si>
  <si>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</si>
  <si>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</si>
  <si>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</si>
  <si>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</si>
  <si>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</si>
  <si>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</si>
  <si>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</si>
  <si>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</si>
  <si>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</si>
  <si>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</si>
  <si>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</si>
  <si>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</si>
  <si>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</si>
  <si>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</si>
  <si>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</si>
  <si>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</si>
  <si>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</si>
  <si>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</si>
  <si>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</si>
  <si>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</si>
  <si>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</si>
  <si>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</si>
  <si>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</si>
  <si>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</si>
  <si>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</si>
  <si>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</si>
  <si>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</si>
  <si>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</si>
  <si>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</si>
  <si>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</si>
  <si>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</si>
  <si>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</si>
  <si>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</si>
  <si>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</si>
  <si>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</si>
  <si>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</si>
  <si>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</si>
  <si>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</si>
  <si>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</si>
  <si>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</si>
  <si>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</si>
  <si>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</si>
  <si>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</si>
  <si>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</si>
  <si>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</si>
  <si>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</si>
  <si>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</si>
  <si>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</si>
  <si>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</si>
  <si>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</si>
  <si>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</si>
  <si>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</si>
  <si>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</si>
  <si>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</si>
  <si>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</si>
  <si>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</si>
  <si>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</si>
  <si>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</si>
  <si>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</si>
  <si>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</si>
  <si>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</si>
  <si>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</si>
  <si>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</si>
  <si>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</si>
  <si>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</si>
  <si>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</si>
  <si>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</si>
  <si>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</si>
  <si>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</si>
  <si>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</si>
  <si>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</si>
  <si>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</si>
  <si>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</si>
  <si>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</si>
  <si>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</si>
  <si>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</si>
  <si>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</si>
  <si>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</si>
  <si>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</si>
  <si>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</si>
  <si>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</si>
  <si>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</si>
  <si>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</si>
  <si>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</si>
  <si>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</si>
  <si>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</si>
  <si>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</si>
  <si>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</si>
  <si>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</si>
  <si>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</si>
  <si>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</si>
  <si>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</si>
  <si>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</si>
  <si>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</si>
  <si>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</si>
  <si>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</si>
  <si>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</si>
  <si>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</si>
  <si>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</si>
  <si>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</si>
  <si>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</si>
  <si>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</si>
  <si>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</si>
  <si>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</si>
  <si>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</si>
  <si>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</si>
  <si>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</si>
  <si>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</si>
  <si>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</si>
  <si>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</si>
  <si>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</si>
  <si>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</si>
  <si>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</si>
  <si>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</si>
  <si>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</si>
  <si>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Têt</t>
  </si>
  <si>
    <t xml:space="preserve">Sainte Marie La Mer</t>
  </si>
  <si>
    <t xml:space="preserve">06172100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</si>
  <si>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</si>
  <si>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</si>
  <si>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</si>
  <si>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</si>
  <si>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</si>
  <si>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</si>
  <si>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</si>
  <si>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</si>
  <si>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</si>
  <si>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</si>
  <si>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</si>
  <si>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</si>
  <si>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</si>
  <si>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</si>
  <si>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</si>
  <si>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</si>
  <si>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</si>
  <si>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</si>
  <si>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</si>
  <si>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</si>
  <si>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</si>
  <si>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</si>
  <si>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</si>
  <si>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</si>
  <si>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</si>
  <si>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</si>
  <si>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</si>
  <si>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</si>
  <si>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</si>
  <si>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</si>
  <si>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</si>
  <si>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</si>
  <si>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</si>
  <si>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</si>
  <si>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</si>
  <si>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</si>
  <si>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</si>
  <si>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</si>
  <si>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</si>
  <si>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</si>
  <si>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</si>
  <si>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</si>
  <si>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</si>
  <si>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</si>
  <si>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</si>
  <si>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</si>
  <si>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</si>
  <si>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</si>
  <si>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</si>
  <si>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(0,81 %)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</si>
  <si>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</si>
  <si>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</si>
  <si>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</si>
  <si>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</si>
  <si>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</si>
  <si>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</si>
  <si>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</si>
  <si>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</si>
  <si>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</si>
  <si>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</si>
  <si>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</si>
  <si>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</si>
  <si>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</si>
  <si>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</si>
  <si>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</si>
  <si>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</si>
  <si>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</si>
  <si>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</si>
  <si>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</si>
  <si>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</si>
  <si>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Mentha suaveolens</t>
  </si>
  <si>
    <t xml:space="preserve">Fragilaria sp.</t>
  </si>
  <si>
    <t xml:space="preserve">Xanthium orientale italicum</t>
  </si>
  <si>
    <t xml:space="preserve">Bidens frondosa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</si>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</sst>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41891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v>
      </c>
      <c r="M5" s="323"/>
      <c r="N5" s="324" t="s">
        <v>228</v>
      </c>
      <c r="O5" s="325" t="n">
        <v>8.30434782608696</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6.26086956521739</v>
      </c>
      <c r="O8" s="354" t="n">
        <f aca="false">IF(ISERROR(AVERAGE(J23:J82)),"      -",AVERAGE(J23:J82))</f>
        <v>1</v>
      </c>
      <c r="P8" s="355"/>
      <c r="Q8" s="280"/>
      <c r="R8" s="280"/>
      <c r="S8" s="280"/>
      <c r="T8" s="280"/>
      <c r="U8" s="280"/>
      <c r="V8" s="280"/>
      <c r="W8" s="292"/>
      <c r="X8" s="293"/>
    </row>
    <row r="9" customFormat="false" ht="13.5" hidden="false" customHeight="false" outlineLevel="0" collapsed="false">
      <c r="A9" s="313" t="s">
        <v>2634</v>
      </c>
      <c r="B9" s="356" t="n">
        <v>0.81</v>
      </c>
      <c r="C9" s="357"/>
      <c r="D9" s="358"/>
      <c r="E9" s="358"/>
      <c r="F9" s="359" t="n">
        <f aca="false">($B9*$B$7+$C9*$C$7)/100</f>
        <v>0.81</v>
      </c>
      <c r="G9" s="360"/>
      <c r="H9" s="361"/>
      <c r="I9" s="362"/>
      <c r="J9" s="363"/>
      <c r="K9" s="343"/>
      <c r="L9" s="364"/>
      <c r="M9" s="353" t="s">
        <v>2635</v>
      </c>
      <c r="N9" s="354" t="n">
        <f aca="false">IF(ISERROR(STDEVP(I23:I82)),"     -",STDEVP(I23:I82))</f>
        <v>4.56086749284986</v>
      </c>
      <c r="O9" s="354" t="n">
        <f aca="false">IF(ISERROR(STDEVP(J23:J82)),"      -",STDEVP(J23:J82))</f>
        <v>0.834057656228299</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27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23</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18</v>
      </c>
      <c r="L15" s="386"/>
      <c r="M15" s="407" t="s">
        <v>2653</v>
      </c>
      <c r="N15" s="408" t="n">
        <f aca="false">COUNTIF(J23:J82,"=1")</f>
        <v>10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0.81</v>
      </c>
      <c r="C20" s="436" t="n">
        <f aca="false">SUM(C23:C82)</f>
        <v>0</v>
      </c>
      <c r="D20" s="437"/>
      <c r="E20" s="438" t="s">
        <v>2659</v>
      </c>
      <c r="F20" s="439" t="n">
        <f aca="false">($B20*$B$7+$C20*$C$7)/100</f>
        <v>0.81</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0.81</v>
      </c>
      <c r="C21" s="449" t="n">
        <f aca="false">C20*C7/100</f>
        <v>0</v>
      </c>
      <c r="D21" s="381" t="str">
        <f aca="false">IF(F21=0,"",IF((ABS(F21-F19))&gt;(0.2*F21),CONCATENATE(" rec. par taxa (",F21," %) supérieur à 20 % !"),""))</f>
        <v> rec. par taxa (0,81 %) supérieur à 20 % !</v>
      </c>
      <c r="E21" s="450" t="str">
        <f aca="false">IF(F21=0,"",IF((ABS(F21-F19))&gt;(0.2*F21),CONCATENATE("ATTENTION : écart entre rec. par grp (",F19," %) ","et",""),""))</f>
        <v>ATTENTION : écart entre rec. par grp (0 %) et</v>
      </c>
      <c r="F21" s="451" t="n">
        <f aca="false">B21+C21</f>
        <v>0.81</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0.02</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0.02</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228</v>
      </c>
      <c r="B24" s="494" t="n">
        <v>0.1</v>
      </c>
      <c r="C24" s="495"/>
      <c r="D24" s="477" t="str">
        <f aca="false">IF(ISERROR(VLOOKUP($A24,'liste reference'!$A$7:$D$904,2,0)),IF(ISERROR(VLOOKUP($A24,'liste reference'!$B$7:$D$904,1,0)),"",VLOOKUP($A24,'liste reference'!$B$7:$D$904,1,0)),VLOOKUP($A24,'liste reference'!$A$7:$D$904,2,0))</f>
        <v>Phormidium sp.</v>
      </c>
      <c r="E24" s="496" t="e">
        <f aca="false">IF(D24="",0,VLOOKUP(D24,D$22:D23,1,0))</f>
        <v>#N/A</v>
      </c>
      <c r="F24" s="497" t="n">
        <f aca="false">($B24*$B$7+$C24*$C$7)/100</f>
        <v>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6414</v>
      </c>
      <c r="Q24" s="486" t="n">
        <f aca="false">IF(ISTEXT(H24),"",(B24*$B$7/100)+(C24*$C$7/100))</f>
        <v>0.1</v>
      </c>
      <c r="R24" s="487" t="n">
        <f aca="false">IF(OR(ISTEXT(H24),Q24=0),"",IF(Q24&lt;0.1,1,IF(Q24&lt;1,2,IF(Q24&lt;10,3,IF(Q24&lt;50,4,IF(Q24&gt;=50,5,""))))))</f>
        <v>2</v>
      </c>
      <c r="S24" s="487" t="n">
        <f aca="false">IF(ISERROR(R24*I24),0,R24*I24)</f>
        <v>26</v>
      </c>
      <c r="T24" s="487" t="n">
        <f aca="false">IF(ISERROR(R24*I24*J24),0,R24*I24*J24)</f>
        <v>52</v>
      </c>
      <c r="U24" s="499" t="n">
        <f aca="false">IF(ISERROR(R24*J24),0,R24*J24)</f>
        <v>4</v>
      </c>
      <c r="V24" s="488" t="str">
        <f aca="false">IF(AND(A24="",F24=0),"",IF(F24=0,"Il manque le(s) % de rec. !",""))</f>
        <v/>
      </c>
      <c r="W24" s="489"/>
      <c r="Y24" s="490" t="str">
        <f aca="false">IF(A24="new.cod","NEWCOD",IF(AND((Z24=""),ISTEXT(A24)),A24,IF(Z24="","",INDEX('liste reference'!$A$8:$A$904,Z24))))</f>
        <v>PHOSPX</v>
      </c>
      <c r="Z24" s="280" t="n">
        <f aca="false">IF(ISERROR(MATCH(A24,'liste reference'!$A$8:$A$904,0)),IF(ISERROR(MATCH(A24,'liste reference'!$B$8:$B$904,0)),"",(MATCH(A24,'liste reference'!$B$8:$B$904,0))),(MATCH(A24,'liste reference'!$A$8:$A$904,0)))</f>
        <v>57</v>
      </c>
      <c r="AA24" s="491"/>
      <c r="AB24" s="492"/>
      <c r="AC24" s="492"/>
      <c r="BB24" s="280" t="n">
        <f aca="false">IF(A24="","",1)</f>
        <v>1</v>
      </c>
    </row>
    <row r="25" customFormat="false" ht="12.75" hidden="false" customHeight="false" outlineLevel="0" collapsed="false">
      <c r="A25" s="493" t="s">
        <v>258</v>
      </c>
      <c r="B25" s="494" t="n">
        <v>0.005</v>
      </c>
      <c r="C25" s="495"/>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0.005</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2.75" hidden="false" customHeight="false" outlineLevel="0" collapsed="false">
      <c r="A26" s="493" t="s">
        <v>301</v>
      </c>
      <c r="B26" s="494" t="n">
        <v>0.03</v>
      </c>
      <c r="C26" s="495"/>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0.03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0.03</v>
      </c>
      <c r="R26" s="487" t="n">
        <f aca="false">IF(OR(ISTEXT(H26),Q26=0),"",IF(Q26&lt;0.1,1,IF(Q26&lt;1,2,IF(Q26&lt;10,3,IF(Q26&lt;50,4,IF(Q26&gt;=50,5,""))))))</f>
        <v>1</v>
      </c>
      <c r="S26" s="487" t="n">
        <f aca="false">IF(ISERROR(R26*I26),0,R26*I26)</f>
        <v>4</v>
      </c>
      <c r="T26" s="487" t="n">
        <f aca="false">IF(ISERROR(R26*I26*J26),0,R26*I26*J26)</f>
        <v>4</v>
      </c>
      <c r="U26" s="499" t="n">
        <f aca="false">IF(ISERROR(R26*J26),0,R26*J26)</f>
        <v>1</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2.75" hidden="false" customHeight="false" outlineLevel="0" collapsed="false">
      <c r="A27" s="493" t="s">
        <v>1141</v>
      </c>
      <c r="B27" s="494" t="n">
        <v>0.005</v>
      </c>
      <c r="C27" s="495"/>
      <c r="D27" s="477" t="str">
        <f aca="false">IF(ISERROR(VLOOKUP($A27,'liste reference'!$A$7:$D$904,2,0)),IF(ISERROR(VLOOKUP($A27,'liste reference'!$B$7:$D$904,1,0)),"",VLOOKUP($A27,'liste reference'!$B$7:$D$904,1,0)),VLOOKUP($A27,'liste reference'!$A$7:$D$904,2,0))</f>
        <v>Azolla filiculoides</v>
      </c>
      <c r="E27" s="496" t="e">
        <f aca="false">IF(D27="",0,VLOOKUP(D27,D$20:D22,1,0))</f>
        <v>#N/A</v>
      </c>
      <c r="F27" s="497" t="n">
        <f aca="false">($B27*$B$7+$C27*$C$7)/100</f>
        <v>0.005</v>
      </c>
      <c r="G27" s="479" t="str">
        <f aca="false">IF(A27="","",IF(ISERROR(VLOOKUP($A27,'liste reference'!$A$7:$P$904,13,0)),IF(ISERROR(VLOOKUP($A27,'liste reference'!$B$7:$P$904,12,0)),"    -",VLOOKUP($A27,'liste reference'!$B$7:$P$904,12,0)),VLOOKUP($A27,'liste reference'!$A$7:$P$904,13,0)))</f>
        <v>PTE</v>
      </c>
      <c r="H27" s="480" t="n">
        <f aca="false">IF(A27="","x",IF(ISERROR(VLOOKUP($A27,'liste reference'!$A$8:$P$904,14,0)),IF(ISERROR(VLOOKUP($A27,'liste reference'!$B$8:$P$904,13,0)),"x",VLOOKUP($A27,'liste reference'!$B$8:$P$904,13,0)),VLOOKUP($A27,'liste reference'!$A$8:$P$904,14,0)))</f>
        <v>6</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Azolla filiculoides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1439</v>
      </c>
      <c r="Q27" s="486" t="n">
        <f aca="false">IF(ISTEXT(H27),"",(B27*$B$7/100)+(C27*$C$7/100))</f>
        <v>0.005</v>
      </c>
      <c r="R27" s="487" t="n">
        <f aca="false">IF(OR(ISTEXT(H27),Q27=0),"",IF(Q27&lt;0.1,1,IF(Q27&lt;1,2,IF(Q27&lt;10,3,IF(Q27&lt;50,4,IF(Q27&gt;=50,5,""))))))</f>
        <v>1</v>
      </c>
      <c r="S27" s="487" t="n">
        <f aca="false">IF(ISERROR(R27*I27),0,R27*I27)</f>
        <v>6</v>
      </c>
      <c r="T27" s="487" t="n">
        <f aca="false">IF(ISERROR(R27*I27*J27),0,R27*I27*J27)</f>
        <v>18</v>
      </c>
      <c r="U27" s="499" t="n">
        <f aca="false">IF(ISERROR(R27*J27),0,R27*J27)</f>
        <v>3</v>
      </c>
      <c r="V27" s="488" t="str">
        <f aca="false">IF(AND(A27="",F27=0),"",IF(F27=0,"Il manque le(s) % de rec. !",""))</f>
        <v/>
      </c>
      <c r="W27" s="489"/>
      <c r="Y27" s="490" t="str">
        <f aca="false">IF(A27="new.cod","NEWCOD",IF(AND((Z27=""),ISTEXT(A27)),A27,IF(Z27="","",INDEX('liste reference'!$A$8:$A$904,Z27))))</f>
        <v>AZOFIL</v>
      </c>
      <c r="Z27" s="280" t="n">
        <f aca="false">IF(ISERROR(MATCH(A27,'liste reference'!$A$8:$A$904,0)),IF(ISERROR(MATCH(A27,'liste reference'!$B$8:$B$904,0)),"",(MATCH(A27,'liste reference'!$B$8:$B$904,0))),(MATCH(A27,'liste reference'!$A$8:$A$904,0)))</f>
        <v>273</v>
      </c>
      <c r="AA27" s="491"/>
      <c r="AB27" s="492"/>
      <c r="AC27" s="492"/>
      <c r="BB27" s="280" t="n">
        <f aca="false">IF(A27="","",1)</f>
        <v>1</v>
      </c>
    </row>
    <row r="28" customFormat="false" ht="12.75" hidden="false" customHeight="false" outlineLevel="0" collapsed="false">
      <c r="A28" s="493" t="s">
        <v>1224</v>
      </c>
      <c r="B28" s="494" t="n">
        <v>0.005</v>
      </c>
      <c r="C28" s="495"/>
      <c r="D28" s="477" t="str">
        <f aca="false">IF(ISERROR(VLOOKUP($A28,'liste reference'!$A$7:$D$904,2,0)),IF(ISERROR(VLOOKUP($A28,'liste reference'!$B$7:$D$904,1,0)),"",VLOOKUP($A28,'liste reference'!$B$7:$D$904,1,0)),VLOOKUP($A28,'liste reference'!$A$7:$D$904,2,0))</f>
        <v>Apium nodiflorum</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Apium nodiflorum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1974</v>
      </c>
      <c r="Q28" s="486" t="n">
        <f aca="false">IF(ISTEXT(H28),"",(B28*$B$7/100)+(C28*$C$7/100))</f>
        <v>0.005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APINOD</v>
      </c>
      <c r="Z28" s="280" t="n">
        <f aca="false">IF(ISERROR(MATCH(A28,'liste reference'!$A$8:$A$904,0)),IF(ISERROR(MATCH(A28,'liste reference'!$B$8:$B$904,0)),"",(MATCH(A28,'liste reference'!$B$8:$B$904,0))),(MATCH(A28,'liste reference'!$A$8:$A$904,0)))</f>
        <v>309</v>
      </c>
      <c r="AA28" s="491"/>
      <c r="AB28" s="492"/>
      <c r="AC28" s="492"/>
      <c r="BB28" s="280" t="n">
        <f aca="false">IF(A28="","",1)</f>
        <v>1</v>
      </c>
    </row>
    <row r="29" customFormat="false" ht="12.75" hidden="false" customHeight="false" outlineLevel="0" collapsed="false">
      <c r="A29" s="493" t="s">
        <v>1337</v>
      </c>
      <c r="B29" s="494" t="n">
        <v>0.005</v>
      </c>
      <c r="C29" s="495"/>
      <c r="D29" s="477" t="str">
        <f aca="false">IF(ISERROR(VLOOKUP($A29,'liste reference'!$A$7:$D$904,2,0)),IF(ISERROR(VLOOKUP($A29,'liste reference'!$B$7:$D$904,1,0)),"",VLOOKUP($A29,'liste reference'!$B$7:$D$904,1,0)),VLOOKUP($A29,'liste reference'!$A$7:$D$904,2,0))</f>
        <v>Lemna minor</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Lemna minor</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1626</v>
      </c>
      <c r="Q29" s="486" t="n">
        <f aca="false">IF(ISTEXT(H29),"",(B29*$B$7/100)+(C29*$C$7/100))</f>
        <v>0.005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LEMMIN</v>
      </c>
      <c r="Z29" s="280" t="n">
        <f aca="false">IF(ISERROR(MATCH(A29,'liste reference'!$A$8:$A$904,0)),IF(ISERROR(MATCH(A29,'liste reference'!$B$8:$B$904,0)),"",(MATCH(A29,'liste reference'!$B$8:$B$904,0))),(MATCH(A29,'liste reference'!$A$8:$A$904,0)))</f>
        <v>357</v>
      </c>
      <c r="AA29" s="491"/>
      <c r="AB29" s="492"/>
      <c r="AC29" s="492"/>
      <c r="BB29" s="280" t="n">
        <f aca="false">IF(A29="","",1)</f>
        <v>1</v>
      </c>
    </row>
    <row r="30" customFormat="false" ht="12.75" hidden="false" customHeight="false" outlineLevel="0" collapsed="false">
      <c r="A30" s="493" t="s">
        <v>1375</v>
      </c>
      <c r="B30" s="494" t="n">
        <v>0.1</v>
      </c>
      <c r="C30" s="495"/>
      <c r="D30" s="477" t="str">
        <f aca="false">IF(ISERROR(VLOOKUP($A30,'liste reference'!$A$7:$D$904,2,0)),IF(ISERROR(VLOOKUP($A30,'liste reference'!$B$7:$D$904,1,0)),"",VLOOKUP($A30,'liste reference'!$B$7:$D$904,1,0)),VLOOKUP($A30,'liste reference'!$A$7:$D$904,2,0))</f>
        <v>Myriophyllum spicatum</v>
      </c>
      <c r="E30" s="496" t="e">
        <f aca="false">IF(D30="",0,VLOOKUP(D30,D$22:D29,1,0))</f>
        <v>#N/A</v>
      </c>
      <c r="F30" s="497" t="n">
        <f aca="false">($B30*$B$7+$C30*$C$7)/100</f>
        <v>0.1</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8</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Myriophyllum spicatum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1778</v>
      </c>
      <c r="Q30" s="486" t="n">
        <f aca="false">IF(ISTEXT(H30),"",(B30*$B$7/100)+(C30*$C$7/100))</f>
        <v>0.1</v>
      </c>
      <c r="R30" s="487" t="n">
        <f aca="false">IF(OR(ISTEXT(H30),Q30=0),"",IF(Q30&lt;0.1,1,IF(Q30&lt;1,2,IF(Q30&lt;10,3,IF(Q30&lt;50,4,IF(Q30&gt;=50,5,""))))))</f>
        <v>2</v>
      </c>
      <c r="S30" s="487" t="n">
        <f aca="false">IF(ISERROR(R30*I30),0,R30*I30)</f>
        <v>16</v>
      </c>
      <c r="T30" s="487" t="n">
        <f aca="false">IF(ISERROR(R30*I30*J30),0,R30*I30*J30)</f>
        <v>32</v>
      </c>
      <c r="U30" s="499" t="n">
        <f aca="false">IF(ISERROR(R30*J30),0,R30*J30)</f>
        <v>4</v>
      </c>
      <c r="V30" s="488" t="str">
        <f aca="false">IF(AND(A30="",F30=0),"",IF(F30=0,"Il manque le(s) % de rec. !",""))</f>
        <v/>
      </c>
      <c r="W30" s="489"/>
      <c r="Y30" s="490" t="str">
        <f aca="false">IF(A30="new.cod","NEWCOD",IF(AND((Z30=""),ISTEXT(A30)),A30,IF(Z30="","",INDEX('liste reference'!$A$8:$A$904,Z30))))</f>
        <v>MYRSPI</v>
      </c>
      <c r="Z30" s="280" t="n">
        <f aca="false">IF(ISERROR(MATCH(A30,'liste reference'!$A$8:$A$904,0)),IF(ISERROR(MATCH(A30,'liste reference'!$B$8:$B$904,0)),"",(MATCH(A30,'liste reference'!$B$8:$B$904,0))),(MATCH(A30,'liste reference'!$A$8:$A$904,0)))</f>
        <v>373</v>
      </c>
      <c r="AA30" s="491"/>
      <c r="AB30" s="492"/>
      <c r="AC30" s="492"/>
      <c r="BB30" s="280" t="n">
        <f aca="false">IF(A30="","",1)</f>
        <v>1</v>
      </c>
    </row>
    <row r="31" customFormat="false" ht="12.75" hidden="false" customHeight="false" outlineLevel="0" collapsed="false">
      <c r="A31" s="493" t="s">
        <v>1454</v>
      </c>
      <c r="B31" s="494" t="n">
        <v>0.03</v>
      </c>
      <c r="C31" s="495"/>
      <c r="D31" s="477" t="str">
        <f aca="false">IF(ISERROR(VLOOKUP($A31,'liste reference'!$A$7:$D$904,2,0)),IF(ISERROR(VLOOKUP($A31,'liste reference'!$B$7:$D$904,1,0)),"",VLOOKUP($A31,'liste reference'!$B$7:$D$904,1,0)),VLOOKUP($A31,'liste reference'!$A$7:$D$904,2,0))</f>
        <v>Potamogeton crispus</v>
      </c>
      <c r="E31" s="496" t="e">
        <f aca="false">IF(D31="",0,VLOOKUP(D31,D$22:D30,1,0))</f>
        <v>#N/A</v>
      </c>
      <c r="F31" s="497" t="n">
        <f aca="false">($B31*$B$7+$C31*$C$7)/100</f>
        <v>0.03</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7</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crispus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1645</v>
      </c>
      <c r="Q31" s="486" t="n">
        <f aca="false">IF(ISTEXT(H31),"",(B31*$B$7/100)+(C31*$C$7/100))</f>
        <v>0.03</v>
      </c>
      <c r="R31" s="487" t="n">
        <f aca="false">IF(OR(ISTEXT(H31),Q31=0),"",IF(Q31&lt;0.1,1,IF(Q31&lt;1,2,IF(Q31&lt;10,3,IF(Q31&lt;50,4,IF(Q31&gt;=50,5,""))))))</f>
        <v>1</v>
      </c>
      <c r="S31" s="487" t="n">
        <f aca="false">IF(ISERROR(R31*I31),0,R31*I31)</f>
        <v>7</v>
      </c>
      <c r="T31" s="487" t="n">
        <f aca="false">IF(ISERROR(R31*I31*J31),0,R31*I31*J31)</f>
        <v>14</v>
      </c>
      <c r="U31" s="499" t="n">
        <f aca="false">IF(ISERROR(R31*J31),0,R31*J31)</f>
        <v>2</v>
      </c>
      <c r="V31" s="488" t="str">
        <f aca="false">IF(AND(A31="",F31=0),"",IF(F31=0,"Il manque le(s) % de rec. !",""))</f>
        <v/>
      </c>
      <c r="W31" s="489"/>
      <c r="Y31" s="490" t="str">
        <f aca="false">IF(A31="new.cod","NEWCOD",IF(AND((Z31=""),ISTEXT(A31)),A31,IF(Z31="","",INDEX('liste reference'!$A$8:$A$904,Z31))))</f>
        <v>POTCRI</v>
      </c>
      <c r="Z31" s="280" t="n">
        <f aca="false">IF(ISERROR(MATCH(A31,'liste reference'!$A$8:$A$904,0)),IF(ISERROR(MATCH(A31,'liste reference'!$B$8:$B$904,0)),"",(MATCH(A31,'liste reference'!$B$8:$B$904,0))),(MATCH(A31,'liste reference'!$A$8:$A$904,0)))</f>
        <v>409</v>
      </c>
      <c r="AA31" s="491"/>
      <c r="AB31" s="492"/>
      <c r="AC31" s="492"/>
      <c r="BB31" s="280" t="n">
        <f aca="false">IF(A31="","",1)</f>
        <v>1</v>
      </c>
    </row>
    <row r="32" customFormat="false" ht="12.75" hidden="false" customHeight="false" outlineLevel="0" collapsed="false">
      <c r="A32" s="493" t="s">
        <v>1484</v>
      </c>
      <c r="B32" s="494" t="n">
        <v>0.005</v>
      </c>
      <c r="C32" s="495"/>
      <c r="D32" s="477" t="str">
        <f aca="false">IF(ISERROR(VLOOKUP($A32,'liste reference'!$A$7:$D$904,2,0)),IF(ISERROR(VLOOKUP($A32,'liste reference'!$B$7:$D$904,1,0)),"",VLOOKUP($A32,'liste reference'!$B$7:$D$904,1,0)),VLOOKUP($A32,'liste reference'!$A$7:$D$904,2,0))</f>
        <v>Potamogeton panormitanus</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9</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Potamogeton panormitanus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1654</v>
      </c>
      <c r="Q32" s="486" t="n">
        <f aca="false">IF(ISTEXT(H32),"",(B32*$B$7/100)+(C32*$C$7/100))</f>
        <v>0.005</v>
      </c>
      <c r="R32" s="487" t="n">
        <f aca="false">IF(OR(ISTEXT(H32),Q32=0),"",IF(Q32&lt;0.1,1,IF(Q32&lt;1,2,IF(Q32&lt;10,3,IF(Q32&lt;50,4,IF(Q32&gt;=50,5,""))))))</f>
        <v>1</v>
      </c>
      <c r="S32" s="487" t="n">
        <f aca="false">IF(ISERROR(R32*I32),0,R32*I32)</f>
        <v>9</v>
      </c>
      <c r="T32" s="487" t="n">
        <f aca="false">IF(ISERROR(R32*I32*J32),0,R32*I32*J32)</f>
        <v>18</v>
      </c>
      <c r="U32" s="499" t="n">
        <f aca="false">IF(ISERROR(R32*J32),0,R32*J32)</f>
        <v>2</v>
      </c>
      <c r="V32" s="488" t="str">
        <f aca="false">IF(AND(A32="",F32=0),"",IF(F32=0,"Il manque le(s) % de rec. !",""))</f>
        <v/>
      </c>
      <c r="W32" s="500"/>
      <c r="Y32" s="490" t="str">
        <f aca="false">IF(A32="new.cod","NEWCOD",IF(AND((Z32=""),ISTEXT(A32)),A32,IF(Z32="","",INDEX('liste reference'!$A$8:$A$904,Z32))))</f>
        <v>POTPAN</v>
      </c>
      <c r="Z32" s="280" t="n">
        <f aca="false">IF(ISERROR(MATCH(A32,'liste reference'!$A$8:$A$904,0)),IF(ISERROR(MATCH(A32,'liste reference'!$B$8:$B$904,0)),"",(MATCH(A32,'liste reference'!$B$8:$B$904,0))),(MATCH(A32,'liste reference'!$A$8:$A$904,0)))</f>
        <v>420</v>
      </c>
      <c r="AA32" s="491"/>
      <c r="AB32" s="492"/>
      <c r="AC32" s="492"/>
      <c r="BB32" s="280" t="n">
        <f aca="false">IF(A32="","",1)</f>
        <v>1</v>
      </c>
    </row>
    <row r="33" customFormat="false" ht="12.75" hidden="false" customHeight="false" outlineLevel="0" collapsed="false">
      <c r="A33" s="493" t="s">
        <v>1708</v>
      </c>
      <c r="B33" s="494" t="n">
        <v>0.005</v>
      </c>
      <c r="C33" s="495"/>
      <c r="D33" s="477" t="str">
        <f aca="false">IF(ISERROR(VLOOKUP($A33,'liste reference'!$A$7:$D$904,2,0)),IF(ISERROR(VLOOKUP($A33,'liste reference'!$B$7:$D$904,1,0)),"",VLOOKUP($A33,'liste reference'!$B$7:$D$904,1,0)),VLOOKUP($A33,'liste reference'!$A$7:$D$904,2,0))</f>
        <v>Agrostis stolonifera</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1543</v>
      </c>
      <c r="Q33" s="486" t="n">
        <f aca="false">IF(ISTEXT(H33),"",(B33*$B$7/100)+(C33*$C$7/100))</f>
        <v>0.005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AGRSTO</v>
      </c>
      <c r="Z33" s="280" t="n">
        <f aca="false">IF(ISERROR(MATCH(A33,'liste reference'!$A$8:$A$904,0)),IF(ISERROR(MATCH(A33,'liste reference'!$B$8:$B$904,0)),"",(MATCH(A33,'liste reference'!$B$8:$B$904,0))),(MATCH(A33,'liste reference'!$A$8:$A$904,0)))</f>
        <v>514</v>
      </c>
      <c r="AA33" s="491"/>
      <c r="AB33" s="492"/>
      <c r="AC33" s="492"/>
      <c r="BB33" s="280" t="n">
        <f aca="false">IF(A33="","",1)</f>
        <v>1</v>
      </c>
    </row>
    <row r="34" customFormat="false" ht="12.75" hidden="false" customHeight="false" outlineLevel="0" collapsed="false">
      <c r="A34" s="493" t="s">
        <v>1815</v>
      </c>
      <c r="B34" s="494" t="n">
        <v>0.005</v>
      </c>
      <c r="C34" s="495"/>
      <c r="D34" s="477" t="str">
        <f aca="false">IF(ISERROR(VLOOKUP($A34,'liste reference'!$A$7:$D$904,2,0)),IF(ISERROR(VLOOKUP($A34,'liste reference'!$B$7:$D$904,1,0)),"",VLOOKUP($A34,'liste reference'!$B$7:$D$904,1,0)),VLOOKUP($A34,'liste reference'!$A$7:$D$904,2,0))</f>
        <v>Cyperus fuscus</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Cyperus fuscus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1499</v>
      </c>
      <c r="Q34" s="486" t="n">
        <f aca="false">IF(ISTEXT(H34),"",(B34*$B$7/100)+(C34*$C$7/100))</f>
        <v>0.005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CYPFUS</v>
      </c>
      <c r="Z34" s="280" t="n">
        <f aca="false">IF(ISERROR(MATCH(A34,'liste reference'!$A$8:$A$904,0)),IF(ISERROR(MATCH(A34,'liste reference'!$B$8:$B$904,0)),"",(MATCH(A34,'liste reference'!$B$8:$B$904,0))),(MATCH(A34,'liste reference'!$A$8:$A$904,0)))</f>
        <v>555</v>
      </c>
      <c r="AA34" s="491"/>
      <c r="AB34" s="492"/>
      <c r="AC34" s="492"/>
      <c r="BB34" s="280" t="n">
        <f aca="false">IF(A34="","",1)</f>
        <v>1</v>
      </c>
    </row>
    <row r="35" customFormat="false" ht="12.75" hidden="false" customHeight="false" outlineLevel="0" collapsed="false">
      <c r="A35" s="493" t="s">
        <v>1908</v>
      </c>
      <c r="B35" s="494" t="n">
        <v>0.3</v>
      </c>
      <c r="C35" s="495"/>
      <c r="D35" s="477" t="str">
        <f aca="false">IF(ISERROR(VLOOKUP($A35,'liste reference'!$A$7:$D$904,2,0)),IF(ISERROR(VLOOKUP($A35,'liste reference'!$B$7:$D$904,1,0)),"",VLOOKUP($A35,'liste reference'!$B$7:$D$904,1,0)),VLOOKUP($A35,'liste reference'!$A$7:$D$904,2,0))</f>
        <v>Ludwigia peploides</v>
      </c>
      <c r="E35" s="496" t="e">
        <f aca="false">IF(D35="",0,VLOOKUP(D35,D$22:D34,1,0))</f>
        <v>#N/A</v>
      </c>
      <c r="F35" s="501" t="n">
        <f aca="false">($B35*$B$7+$C35*$C$7)/100</f>
        <v>0.3</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Ludwigia peploides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1856</v>
      </c>
      <c r="Q35" s="486" t="n">
        <f aca="false">IF(ISTEXT(H35),"",(B35*$B$7/100)+(C35*$C$7/100))</f>
        <v>0.3</v>
      </c>
      <c r="R35" s="487" t="n">
        <f aca="false">IF(OR(ISTEXT(H35),Q35=0),"",IF(Q35&lt;0.1,1,IF(Q35&lt;1,2,IF(Q35&lt;10,3,IF(Q35&lt;50,4,IF(Q35&gt;=50,5,""))))))</f>
        <v>2</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LUDPEP</v>
      </c>
      <c r="Z35" s="280" t="n">
        <f aca="false">IF(ISERROR(MATCH(A35,'liste reference'!$A$8:$A$904,0)),IF(ISERROR(MATCH(A35,'liste reference'!$B$8:$B$904,0)),"",(MATCH(A35,'liste reference'!$B$8:$B$904,0))),(MATCH(A35,'liste reference'!$A$8:$A$904,0)))</f>
        <v>594</v>
      </c>
      <c r="AA35" s="491"/>
      <c r="AB35" s="492"/>
      <c r="AC35" s="492"/>
      <c r="BB35" s="280" t="n">
        <f aca="false">IF(A35="","",1)</f>
        <v>1</v>
      </c>
    </row>
    <row r="36" customFormat="false" ht="12.75" hidden="false" customHeight="false" outlineLevel="0" collapsed="false">
      <c r="A36" s="493" t="s">
        <v>1913</v>
      </c>
      <c r="B36" s="494" t="n">
        <v>0.005</v>
      </c>
      <c r="C36" s="495"/>
      <c r="D36" s="477" t="str">
        <f aca="false">IF(ISERROR(VLOOKUP($A36,'liste reference'!$A$7:$D$904,2,0)),IF(ISERROR(VLOOKUP($A36,'liste reference'!$B$7:$D$904,1,0)),"",VLOOKUP($A36,'liste reference'!$B$7:$D$904,1,0)),VLOOKUP($A36,'liste reference'!$A$7:$D$904,2,0))</f>
        <v>Lycopus europaeus</v>
      </c>
      <c r="E36" s="496" t="e">
        <f aca="false">IF(D36="",0,VLOOKUP(D36,D$22:D35,1,0))</f>
        <v>#N/A</v>
      </c>
      <c r="F36" s="501" t="n">
        <f aca="false">($B36*$B$7+$C36*$C$7)/100</f>
        <v>0.005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11</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Lycopus europaeus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1789</v>
      </c>
      <c r="Q36" s="486" t="n">
        <f aca="false">IF(ISTEXT(H36),"",(B36*$B$7/100)+(C36*$C$7/100))</f>
        <v>0.005</v>
      </c>
      <c r="R36" s="487" t="n">
        <f aca="false">IF(OR(ISTEXT(H36),Q36=0),"",IF(Q36&lt;0.1,1,IF(Q36&lt;1,2,IF(Q36&lt;10,3,IF(Q36&lt;50,4,IF(Q36&gt;=50,5,""))))))</f>
        <v>1</v>
      </c>
      <c r="S36" s="487" t="n">
        <f aca="false">IF(ISERROR(R36*I36),0,R36*I36)</f>
        <v>11</v>
      </c>
      <c r="T36" s="487" t="n">
        <f aca="false">IF(ISERROR(R36*I36*J36),0,R36*I36*J36)</f>
        <v>11</v>
      </c>
      <c r="U36" s="499" t="n">
        <f aca="false">IF(ISERROR(R36*J36),0,R36*J36)</f>
        <v>1</v>
      </c>
      <c r="V36" s="488" t="str">
        <f aca="false">IF(AND(A36="",F36=0),"",IF(F36=0,"Il manque le(s) % de rec. !",""))</f>
        <v/>
      </c>
      <c r="W36" s="489"/>
      <c r="Y36" s="490" t="str">
        <f aca="false">IF(A36="new.cod","NEWCOD",IF(AND((Z36=""),ISTEXT(A36)),A36,IF(Z36="","",INDEX('liste reference'!$A$8:$A$904,Z36))))</f>
        <v>LYCEUR</v>
      </c>
      <c r="Z36" s="280" t="n">
        <f aca="false">IF(ISERROR(MATCH(A36,'liste reference'!$A$8:$A$904,0)),IF(ISERROR(MATCH(A36,'liste reference'!$B$8:$B$904,0)),"",(MATCH(A36,'liste reference'!$B$8:$B$904,0))),(MATCH(A36,'liste reference'!$A$8:$A$904,0)))</f>
        <v>596</v>
      </c>
      <c r="AA36" s="491"/>
      <c r="AB36" s="492"/>
      <c r="AC36" s="492"/>
      <c r="BB36" s="280" t="n">
        <f aca="false">IF(A36="","",1)</f>
        <v>1</v>
      </c>
    </row>
    <row r="37" customFormat="false" ht="12.75" hidden="false" customHeight="false" outlineLevel="0" collapsed="false">
      <c r="A37" s="493" t="s">
        <v>1936</v>
      </c>
      <c r="B37" s="494" t="n">
        <v>0.01</v>
      </c>
      <c r="C37" s="495"/>
      <c r="D37" s="477" t="str">
        <f aca="false">IF(ISERROR(VLOOKUP($A37,'liste reference'!$A$7:$D$904,2,0)),IF(ISERROR(VLOOKUP($A37,'liste reference'!$B$7:$D$904,1,0)),"",VLOOKUP($A37,'liste reference'!$B$7:$D$904,1,0)),VLOOKUP($A37,'liste reference'!$A$7:$D$904,2,0))</f>
        <v>Mentha aquatica</v>
      </c>
      <c r="E37" s="496" t="e">
        <f aca="false">IF(D37="",0,VLOOKUP(D37,D$22:D36,1,0))</f>
        <v>#N/A</v>
      </c>
      <c r="F37" s="501" t="n">
        <f aca="false">($B37*$B$7+$C37*$C$7)/100</f>
        <v>0.01</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Mentha aquatica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1791</v>
      </c>
      <c r="Q37" s="486" t="n">
        <f aca="false">IF(ISTEXT(H37),"",(B37*$B$7/100)+(C37*$C$7/100))</f>
        <v>0.01</v>
      </c>
      <c r="R37" s="487" t="n">
        <f aca="false">IF(OR(ISTEXT(H37),Q37=0),"",IF(Q37&lt;0.1,1,IF(Q37&lt;1,2,IF(Q37&lt;10,3,IF(Q37&lt;50,4,IF(Q37&gt;=50,5,""))))))</f>
        <v>1</v>
      </c>
      <c r="S37" s="487" t="n">
        <f aca="false">IF(ISERROR(R37*I37),0,R37*I37)</f>
        <v>12</v>
      </c>
      <c r="T37" s="487" t="n">
        <f aca="false">IF(ISERROR(R37*I37*J37),0,R37*I37*J37)</f>
        <v>12</v>
      </c>
      <c r="U37" s="499" t="n">
        <f aca="false">IF(ISERROR(R37*J37),0,R37*J37)</f>
        <v>1</v>
      </c>
      <c r="V37" s="488" t="str">
        <f aca="false">IF(AND(A37="",F37=0),"",IF(F37=0,"Il manque le(s) % de rec. !",""))</f>
        <v/>
      </c>
      <c r="W37" s="489"/>
      <c r="Y37" s="490" t="str">
        <f aca="false">IF(A37="new.cod","NEWCOD",IF(AND((Z37=""),ISTEXT(A37)),A37,IF(Z37="","",INDEX('liste reference'!$A$8:$A$904,Z37))))</f>
        <v>MENAQU</v>
      </c>
      <c r="Z37" s="280" t="n">
        <f aca="false">IF(ISERROR(MATCH(A37,'liste reference'!$A$8:$A$904,0)),IF(ISERROR(MATCH(A37,'liste reference'!$B$8:$B$904,0)),"",(MATCH(A37,'liste reference'!$B$8:$B$904,0))),(MATCH(A37,'liste reference'!$A$8:$A$904,0)))</f>
        <v>607</v>
      </c>
      <c r="AA37" s="491"/>
      <c r="AB37" s="492"/>
      <c r="AC37" s="492"/>
      <c r="BB37" s="280" t="n">
        <f aca="false">IF(A37="","",1)</f>
        <v>1</v>
      </c>
    </row>
    <row r="38" customFormat="false" ht="12.75" hidden="false" customHeight="false" outlineLevel="0" collapsed="false">
      <c r="A38" s="493" t="s">
        <v>2000</v>
      </c>
      <c r="B38" s="494" t="n">
        <v>0.005</v>
      </c>
      <c r="C38" s="495"/>
      <c r="D38" s="477" t="str">
        <f aca="false">IF(ISERROR(VLOOKUP($A38,'liste reference'!$A$7:$D$904,2,0)),IF(ISERROR(VLOOKUP($A38,'liste reference'!$B$7:$D$904,1,0)),"",VLOOKUP($A38,'liste reference'!$B$7:$D$904,1,0)),VLOOKUP($A38,'liste reference'!$A$7:$D$904,2,0))</f>
        <v>Phalaris arundinacea</v>
      </c>
      <c r="E38" s="496" t="e">
        <f aca="false">IF(D38="",0,VLOOKUP(D38,D$22:D37,1,0))</f>
        <v>#N/A</v>
      </c>
      <c r="F38" s="501"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Phalaris arundinacea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1577</v>
      </c>
      <c r="Q38" s="486" t="n">
        <f aca="false">IF(ISTEXT(H38),"",(B38*$B$7/100)+(C38*$C$7/100))</f>
        <v>0.005</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PHAARU</v>
      </c>
      <c r="Z38" s="280" t="n">
        <f aca="false">IF(ISERROR(MATCH(A38,'liste reference'!$A$8:$A$904,0)),IF(ISERROR(MATCH(A38,'liste reference'!$B$8:$B$904,0)),"",(MATCH(A38,'liste reference'!$B$8:$B$904,0))),(MATCH(A38,'liste reference'!$A$8:$A$904,0)))</f>
        <v>634</v>
      </c>
      <c r="AA38" s="491"/>
      <c r="AB38" s="492"/>
      <c r="AC38" s="492"/>
      <c r="BB38" s="280" t="n">
        <f aca="false">IF(A38="","",1)</f>
        <v>1</v>
      </c>
    </row>
    <row r="39" customFormat="false" ht="12.75" hidden="false" customHeight="false" outlineLevel="0" collapsed="false">
      <c r="A39" s="493" t="s">
        <v>2009</v>
      </c>
      <c r="B39" s="494" t="n">
        <v>0.02</v>
      </c>
      <c r="C39" s="495"/>
      <c r="D39" s="477" t="str">
        <f aca="false">IF(ISERROR(VLOOKUP($A39,'liste reference'!$A$7:$D$904,2,0)),IF(ISERROR(VLOOKUP($A39,'liste reference'!$B$7:$D$904,1,0)),"",VLOOKUP($A39,'liste reference'!$B$7:$D$904,1,0)),VLOOKUP($A39,'liste reference'!$A$7:$D$904,2,0))</f>
        <v>Polygonum hydropiper</v>
      </c>
      <c r="E39" s="496" t="e">
        <f aca="false">IF(D39="",0,VLOOKUP(D39,D$22:D38,1,0))</f>
        <v>#N/A</v>
      </c>
      <c r="F39" s="501" t="n">
        <f aca="false">($B39*$B$7+$C39*$C$7)/100</f>
        <v>0.02</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8</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Polygonum hydropiper</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1865</v>
      </c>
      <c r="Q39" s="486" t="n">
        <f aca="false">IF(ISTEXT(H39),"",(B39*$B$7/100)+(C39*$C$7/100))</f>
        <v>0.02</v>
      </c>
      <c r="R39" s="487" t="n">
        <f aca="false">IF(OR(ISTEXT(H39),Q39=0),"",IF(Q39&lt;0.1,1,IF(Q39&lt;1,2,IF(Q39&lt;10,3,IF(Q39&lt;50,4,IF(Q39&gt;=50,5,""))))))</f>
        <v>1</v>
      </c>
      <c r="S39" s="487" t="n">
        <f aca="false">IF(ISERROR(R39*I39),0,R39*I39)</f>
        <v>8</v>
      </c>
      <c r="T39" s="487" t="n">
        <f aca="false">IF(ISERROR(R39*I39*J39),0,R39*I39*J39)</f>
        <v>16</v>
      </c>
      <c r="U39" s="499" t="n">
        <f aca="false">IF(ISERROR(R39*J39),0,R39*J39)</f>
        <v>2</v>
      </c>
      <c r="V39" s="488" t="str">
        <f aca="false">IF(AND(A39="",F39=0),"",IF(F39=0,"Il manque le(s) % de rec. !",""))</f>
        <v/>
      </c>
      <c r="W39" s="489"/>
      <c r="Y39" s="490" t="str">
        <f aca="false">IF(A39="new.cod","NEWCOD",IF(AND((Z39=""),ISTEXT(A39)),A39,IF(Z39="","",INDEX('liste reference'!$A$8:$A$904,Z39))))</f>
        <v>POLHYD</v>
      </c>
      <c r="Z39" s="280" t="n">
        <f aca="false">IF(ISERROR(MATCH(A39,'liste reference'!$A$8:$A$904,0)),IF(ISERROR(MATCH(A39,'liste reference'!$B$8:$B$904,0)),"",(MATCH(A39,'liste reference'!$B$8:$B$904,0))),(MATCH(A39,'liste reference'!$A$8:$A$904,0)))</f>
        <v>637</v>
      </c>
      <c r="AA39" s="491"/>
      <c r="AB39" s="492"/>
      <c r="AC39" s="492"/>
      <c r="BB39" s="280" t="n">
        <f aca="false">IF(A39="","",1)</f>
        <v>1</v>
      </c>
    </row>
    <row r="40" customFormat="false" ht="12.75" hidden="false" customHeight="false" outlineLevel="0" collapsed="false">
      <c r="A40" s="493" t="s">
        <v>2111</v>
      </c>
      <c r="B40" s="494" t="n">
        <v>0.005</v>
      </c>
      <c r="C40" s="495"/>
      <c r="D40" s="477" t="str">
        <f aca="false">IF(ISERROR(VLOOKUP($A40,'liste reference'!$A$7:$D$904,2,0)),IF(ISERROR(VLOOKUP($A40,'liste reference'!$B$7:$D$904,1,0)),"",VLOOKUP($A40,'liste reference'!$B$7:$D$904,1,0)),VLOOKUP($A40,'liste reference'!$A$7:$D$904,2,0))</f>
        <v>Veronica beccabunga</v>
      </c>
      <c r="E40" s="496" t="e">
        <f aca="false">IF(D40="",0,VLOOKUP(D40,D$22:D32,1,0))</f>
        <v>#N/A</v>
      </c>
      <c r="F40" s="501" t="n">
        <f aca="false">($B40*$B$7+$C40*$C$7)/100</f>
        <v>0.005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Veronica beccabunga</v>
      </c>
      <c r="L40" s="498"/>
      <c r="M40" s="498"/>
      <c r="N40" s="498"/>
      <c r="O40" s="484" t="s">
        <v>2684</v>
      </c>
      <c r="P40" s="485" t="n">
        <f aca="false">IF($A40="NEWCOD",IF($AC40="","No",$AC40),IF(ISTEXT($E40),"DEJA SAISI !",IF($A40="","",IF(ISERROR(VLOOKUP($A40,'liste reference'!A:S,19,FALSE())),IF(ISERROR(VLOOKUP($A40,'liste reference'!B:S,19,FALSE())),"",VLOOKUP($A40,'liste reference'!B:S,19,FALSE())),VLOOKUP($A40,'liste reference'!A:S,19,FALSE())))))</f>
        <v>1957</v>
      </c>
      <c r="Q40" s="486" t="n">
        <f aca="false">IF(ISTEXT(H40),"",(B40*$B$7/100)+(C40*$C$7/100))</f>
        <v>0.005</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489"/>
      <c r="Y40" s="490" t="str">
        <f aca="false">IF(A40="new.cod","NEWCOD",IF(AND((Z40=""),ISTEXT(A40)),A40,IF(Z40="","",INDEX('liste reference'!$A$8:$A$904,Z40))))</f>
        <v>VERBEC</v>
      </c>
      <c r="Z40" s="280" t="n">
        <f aca="false">IF(ISERROR(MATCH(A40,'liste reference'!$A$8:$A$904,0)),IF(ISERROR(MATCH(A40,'liste reference'!$B$8:$B$904,0)),"",(MATCH(A40,'liste reference'!$B$8:$B$904,0))),(MATCH(A40,'liste reference'!$A$8:$A$904,0)))</f>
        <v>683</v>
      </c>
      <c r="AA40" s="491" t="s">
        <v>2684</v>
      </c>
      <c r="AB40" s="492"/>
      <c r="AC40" s="492"/>
      <c r="BB40" s="280" t="n">
        <f aca="false">IF(A40="","",1)</f>
        <v>1</v>
      </c>
    </row>
    <row r="41" customFormat="false" ht="12.75" hidden="false" customHeight="false" outlineLevel="0" collapsed="false">
      <c r="A41" s="493" t="s">
        <v>2147</v>
      </c>
      <c r="B41" s="494" t="n">
        <v>0.02</v>
      </c>
      <c r="C41" s="495"/>
      <c r="D41" s="477" t="str">
        <f aca="false">IF(ISERROR(VLOOKUP($A41,'liste reference'!$A$7:$D$904,2,0)),IF(ISERROR(VLOOKUP($A41,'liste reference'!$B$7:$D$904,1,0)),"",VLOOKUP($A41,'liste reference'!$B$7:$D$904,1,0)),VLOOKUP($A41,'liste reference'!$A$7:$D$904,2,0))</f>
        <v>Arundo donax</v>
      </c>
      <c r="E41" s="496" t="e">
        <f aca="false">IF(D41="",0,VLOOKUP(D41,D$22:D40,1,0))</f>
        <v>#N/A</v>
      </c>
      <c r="F41" s="501" t="n">
        <f aca="false">($B41*$B$7+$C41*$C$7)/100</f>
        <v>0.02</v>
      </c>
      <c r="G41" s="479" t="str">
        <f aca="false">IF(A41="","",IF(ISERROR(VLOOKUP($A41,'liste reference'!$A$7:$P$904,13,0)),IF(ISERROR(VLOOKUP($A41,'liste reference'!$B$7:$P$904,12,0)),"    -",VLOOKUP($A41,'liste reference'!$B$7:$P$904,12,0)),VLOOKUP($A41,'liste reference'!$A$7:$P$904,13,0)))</f>
        <v>PHg</v>
      </c>
      <c r="H41" s="480" t="n">
        <f aca="false">IF(A41="","x",IF(ISERROR(VLOOKUP($A41,'liste reference'!$A$8:$P$904,14,0)),IF(ISERROR(VLOOKUP($A41,'liste reference'!$B$8:$P$904,13,0)),"x",VLOOKUP($A41,'liste reference'!$B$8:$P$904,13,0)),VLOOKUP($A41,'liste reference'!$A$8:$P$904,14,0)))</f>
        <v>9</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Arundo donax</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1551</v>
      </c>
      <c r="Q41" s="486" t="n">
        <f aca="false">IF(ISTEXT(H41),"",(B41*$B$7/100)+(C41*$C$7/100))</f>
        <v>0.02</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ARUDON</v>
      </c>
      <c r="Z41" s="280" t="n">
        <f aca="false">IF(ISERROR(MATCH(A41,'liste reference'!$A$8:$A$904,0)),IF(ISERROR(MATCH(A41,'liste reference'!$B$8:$B$904,0)),"",(MATCH(A41,'liste reference'!$B$8:$B$904,0))),(MATCH(A41,'liste reference'!$A$8:$A$904,0)))</f>
        <v>698</v>
      </c>
      <c r="AA41" s="491"/>
      <c r="AB41" s="492"/>
      <c r="AC41" s="492"/>
      <c r="BB41" s="280" t="n">
        <f aca="false">IF(A41="","",1)</f>
        <v>1</v>
      </c>
    </row>
    <row r="42" customFormat="false" ht="12.75" hidden="false" customHeight="false" outlineLevel="0" collapsed="false">
      <c r="A42" s="493" t="s">
        <v>2202</v>
      </c>
      <c r="B42" s="494" t="n">
        <v>0.08</v>
      </c>
      <c r="C42" s="495"/>
      <c r="D42" s="477" t="str">
        <f aca="false">IF(ISERROR(VLOOKUP($A42,'liste reference'!$A$7:$D$904,2,0)),IF(ISERROR(VLOOKUP($A42,'liste reference'!$B$7:$D$904,1,0)),"",VLOOKUP($A42,'liste reference'!$B$7:$D$904,1,0)),VLOOKUP($A42,'liste reference'!$A$7:$D$904,2,0))</f>
        <v>Cyperus eragrostis</v>
      </c>
      <c r="E42" s="496" t="e">
        <f aca="false">IF(D42="",0,VLOOKUP(D42,D$22:D41,1,0))</f>
        <v>#N/A</v>
      </c>
      <c r="F42" s="501" t="n">
        <f aca="false">($B42*$B$7+$C42*$C$7)/100</f>
        <v>0.08</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Cyperus eragrostis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19611</v>
      </c>
      <c r="Q42" s="486" t="n">
        <f aca="false">IF(ISTEXT(H42),"",(B42*$B$7/100)+(C42*$C$7/100))</f>
        <v>0.08</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X42" s="489"/>
      <c r="Y42" s="490" t="str">
        <f aca="false">IF(A42="new.cod","NEWCOD",IF(AND((Z42=""),ISTEXT(A42)),A42,IF(Z42="","",INDEX('liste reference'!$A$8:$A$904,Z42))))</f>
        <v>CYPERA</v>
      </c>
      <c r="Z42" s="280" t="n">
        <f aca="false">IF(ISERROR(MATCH(A42,'liste reference'!$A$8:$A$904,0)),IF(ISERROR(MATCH(A42,'liste reference'!$B$8:$B$904,0)),"",(MATCH(A42,'liste reference'!$B$8:$B$904,0))),(MATCH(A42,'liste reference'!$A$8:$A$904,0)))</f>
        <v>723</v>
      </c>
      <c r="AA42" s="491"/>
      <c r="AB42" s="492"/>
      <c r="AC42" s="492"/>
      <c r="BB42" s="280" t="n">
        <f aca="false">IF(A42="","",1)</f>
        <v>1</v>
      </c>
    </row>
    <row r="43" customFormat="false" ht="12.75" hidden="false" customHeight="false" outlineLevel="0" collapsed="false">
      <c r="A43" s="493" t="s">
        <v>2318</v>
      </c>
      <c r="B43" s="494" t="n">
        <v>0.005</v>
      </c>
      <c r="C43" s="495"/>
      <c r="D43" s="477" t="str">
        <f aca="false">IF(ISERROR(VLOOKUP($A43,'liste reference'!$A$7:$D$904,2,0)),IF(ISERROR(VLOOKUP($A43,'liste reference'!$B$7:$D$904,1,0)),"",VLOOKUP($A43,'liste reference'!$B$7:$D$904,1,0)),VLOOKUP($A43,'liste reference'!$A$7:$D$904,2,0))</f>
        <v>Leersia oryzoides</v>
      </c>
      <c r="E43" s="496" t="e">
        <f aca="false">IF(D43="",0,VLOOKUP(D43,D$22:D42,1,0))</f>
        <v>#N/A</v>
      </c>
      <c r="F43" s="501" t="n">
        <f aca="false">($B43*$B$7+$C43*$C$7)/100</f>
        <v>0.005</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Leersia oryzoides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1569</v>
      </c>
      <c r="Q43" s="486" t="n">
        <f aca="false">IF(ISTEXT(H43),"",(B43*$B$7/100)+(C43*$C$7/100))</f>
        <v>0.005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LEEORY</v>
      </c>
      <c r="Z43" s="280" t="n">
        <f aca="false">IF(ISERROR(MATCH(A43,'liste reference'!$A$8:$A$904,0)),IF(ISERROR(MATCH(A43,'liste reference'!$B$8:$B$904,0)),"",(MATCH(A43,'liste reference'!$B$8:$B$904,0))),(MATCH(A43,'liste reference'!$A$8:$A$904,0)))</f>
        <v>773</v>
      </c>
      <c r="AA43" s="491"/>
      <c r="AB43" s="492"/>
      <c r="AC43" s="492"/>
      <c r="BB43" s="280" t="n">
        <f aca="false">IF(A43="","",1)</f>
        <v>1</v>
      </c>
    </row>
    <row r="44" customFormat="false" ht="12.75" hidden="false" customHeight="false" outlineLevel="0" collapsed="false">
      <c r="A44" s="493" t="s">
        <v>2345</v>
      </c>
      <c r="B44" s="494" t="n">
        <v>0.01</v>
      </c>
      <c r="C44" s="495"/>
      <c r="D44" s="477" t="str">
        <f aca="false">IF(ISERROR(VLOOKUP($A44,'liste reference'!$A$7:$D$904,2,0)),IF(ISERROR(VLOOKUP($A44,'liste reference'!$B$7:$D$904,1,0)),"",VLOOKUP($A44,'liste reference'!$B$7:$D$904,1,0)),VLOOKUP($A44,'liste reference'!$A$7:$D$904,2,0))</f>
        <v>Paspalum paspalodes</v>
      </c>
      <c r="E44" s="496" t="e">
        <f aca="false">IF(D44="",0,VLOOKUP(D44,D$22:D43,1,0))</f>
        <v>#N/A</v>
      </c>
      <c r="F44" s="501" t="n">
        <f aca="false">($B44*$B$7+$C44*$C$7)/100</f>
        <v>0.01</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Paspalum paspalodes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1575</v>
      </c>
      <c r="Q44" s="486" t="n">
        <f aca="false">IF(ISTEXT(H44),"",(B44*$B$7/100)+(C44*$C$7/100))</f>
        <v>0.01</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PASPAS</v>
      </c>
      <c r="Z44" s="280" t="n">
        <f aca="false">IF(ISERROR(MATCH(A44,'liste reference'!$A$8:$A$904,0)),IF(ISERROR(MATCH(A44,'liste reference'!$B$8:$B$904,0)),"",(MATCH(A44,'liste reference'!$B$8:$B$904,0))),(MATCH(A44,'liste reference'!$A$8:$A$904,0)))</f>
        <v>785</v>
      </c>
      <c r="AA44" s="491"/>
      <c r="AB44" s="492"/>
      <c r="AC44" s="492"/>
      <c r="BB44" s="280" t="n">
        <f aca="false">IF(A44="","",1)</f>
        <v>1</v>
      </c>
    </row>
    <row r="45" customFormat="false" ht="12.75" hidden="false" customHeight="false" outlineLevel="0" collapsed="false">
      <c r="A45" s="493" t="s">
        <v>2369</v>
      </c>
      <c r="B45" s="494" t="n">
        <v>0.01</v>
      </c>
      <c r="C45" s="495"/>
      <c r="D45" s="477" t="str">
        <f aca="false">IF(ISERROR(VLOOKUP($A45,'liste reference'!$A$7:$D$904,2,0)),IF(ISERROR(VLOOKUP($A45,'liste reference'!$B$7:$D$904,1,0)),"",VLOOKUP($A45,'liste reference'!$B$7:$D$904,1,0)),VLOOKUP($A45,'liste reference'!$A$7:$D$904,2,0))</f>
        <v>Polygonum lapathifolium</v>
      </c>
      <c r="E45" s="496" t="e">
        <f aca="false">IF(D45="",0,VLOOKUP(D45,D$22:D44,1,0))</f>
        <v>#N/A</v>
      </c>
      <c r="F45" s="501" t="n">
        <f aca="false">($B45*$B$7+$C45*$C$7)/100</f>
        <v>0.01</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Polygonum lapathifolium</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1866</v>
      </c>
      <c r="Q45" s="486" t="n">
        <f aca="false">IF(ISTEXT(H45),"",(B45*$B$7/100)+(C45*$C$7/100))</f>
        <v>0.01</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POLLAP</v>
      </c>
      <c r="Z45" s="280" t="n">
        <f aca="false">IF(ISERROR(MATCH(A45,'liste reference'!$A$8:$A$904,0)),IF(ISERROR(MATCH(A45,'liste reference'!$B$8:$B$904,0)),"",(MATCH(A45,'liste reference'!$B$8:$B$904,0))),(MATCH(A45,'liste reference'!$A$8:$A$904,0)))</f>
        <v>796</v>
      </c>
      <c r="AA45" s="491"/>
      <c r="AB45" s="492"/>
      <c r="AC45" s="492"/>
      <c r="BB45" s="280" t="n">
        <f aca="false">IF(A45="","",1)</f>
        <v>1</v>
      </c>
    </row>
    <row r="46" customFormat="false" ht="12.75" hidden="false" customHeight="false" outlineLevel="0" collapsed="false">
      <c r="A46" s="493" t="s">
        <v>2685</v>
      </c>
      <c r="B46" s="494" t="n">
        <v>0.005</v>
      </c>
      <c r="C46" s="495"/>
      <c r="D46" s="477" t="str">
        <f aca="false">IF(ISERROR(VLOOKUP($A46,'liste reference'!$A$7:$D$904,2,0)),IF(ISERROR(VLOOKUP($A46,'liste reference'!$B$7:$D$904,1,0)),"",VLOOKUP($A46,'liste reference'!$B$7:$D$904,1,0)),VLOOKUP($A46,'liste reference'!$A$7:$D$904,2,0))</f>
        <v/>
      </c>
      <c r="E46" s="496" t="n">
        <f aca="false">IF(D46="",0,VLOOKUP(D46,D$22:D38,1,0))</f>
        <v>0</v>
      </c>
      <c r="F46" s="501" t="n">
        <f aca="false">($B46*$B$7+$C46*$C$7)/100</f>
        <v>0.005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Mentha suaveolens</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2686</v>
      </c>
      <c r="AC46" s="492"/>
      <c r="BB46" s="280" t="n">
        <f aca="false">IF(A46="","",1)</f>
        <v>1</v>
      </c>
    </row>
    <row r="47" customFormat="false" ht="12.75" hidden="false" customHeight="false" outlineLevel="0" collapsed="false">
      <c r="A47" s="493" t="s">
        <v>2685</v>
      </c>
      <c r="B47" s="494" t="n">
        <v>0.01</v>
      </c>
      <c r="C47" s="495"/>
      <c r="D47" s="477" t="str">
        <f aca="false">IF(ISERROR(VLOOKUP($A47,'liste reference'!$A$7:$D$904,2,0)),IF(ISERROR(VLOOKUP($A47,'liste reference'!$B$7:$D$904,1,0)),"",VLOOKUP($A47,'liste reference'!$B$7:$D$904,1,0)),VLOOKUP($A47,'liste reference'!$A$7:$D$904,2,0))</f>
        <v/>
      </c>
      <c r="E47" s="496" t="n">
        <f aca="false">IF(D47="",0,VLOOKUP(D47,D$22:D46,1,0))</f>
        <v>0</v>
      </c>
      <c r="F47" s="501" t="n">
        <f aca="false">($B47*$B$7+$C47*$C$7)/100</f>
        <v>0.01</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Fragilaria sp.</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2687</v>
      </c>
      <c r="AC47" s="492"/>
      <c r="BB47" s="280" t="n">
        <f aca="false">IF(A47="","",1)</f>
        <v>1</v>
      </c>
    </row>
    <row r="48" customFormat="false" ht="12.75" hidden="false" customHeight="false" outlineLevel="0" collapsed="false">
      <c r="A48" s="493" t="s">
        <v>2685</v>
      </c>
      <c r="B48" s="494" t="n">
        <v>0.005</v>
      </c>
      <c r="C48" s="495"/>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0.005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Xanthium orientale italicum</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2688</v>
      </c>
      <c r="AC48" s="492"/>
      <c r="BB48" s="280" t="n">
        <f aca="false">IF(A48="","",1)</f>
        <v>1</v>
      </c>
    </row>
    <row r="49" customFormat="false" ht="12.75" hidden="false" customHeight="false" outlineLevel="0" collapsed="false">
      <c r="A49" s="493" t="s">
        <v>2685</v>
      </c>
      <c r="B49" s="494" t="n">
        <v>0.005</v>
      </c>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0.005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Bidens frondosa</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2689</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Têt</v>
      </c>
      <c r="B84" s="529" t="str">
        <f aca="false">C3</f>
        <v>Sainte Marie La Mer</v>
      </c>
      <c r="C84" s="530" t="n">
        <f aca="false">A4</f>
        <v>41891</v>
      </c>
      <c r="D84" s="531" t="n">
        <f aca="false">IF(ISERROR(SUM($T$23:$T$82)/SUM($U$23:$U$82)),"",SUM($T$23:$T$82)/SUM($U$23:$U$82))</f>
        <v>9</v>
      </c>
      <c r="E84" s="532" t="n">
        <f aca="false">N13</f>
        <v>27</v>
      </c>
      <c r="F84" s="529" t="n">
        <f aca="false">N14</f>
        <v>23</v>
      </c>
      <c r="G84" s="529" t="n">
        <f aca="false">N15</f>
        <v>10</v>
      </c>
      <c r="H84" s="529" t="n">
        <f aca="false">N16</f>
        <v>5</v>
      </c>
      <c r="I84" s="529" t="n">
        <f aca="false">N17</f>
        <v>1</v>
      </c>
      <c r="J84" s="533" t="n">
        <f aca="false">N8</f>
        <v>6.26086956521739</v>
      </c>
      <c r="K84" s="531" t="n">
        <f aca="false">N9</f>
        <v>4.56086749284986</v>
      </c>
      <c r="L84" s="532" t="n">
        <f aca="false">N10</f>
        <v>0</v>
      </c>
      <c r="M84" s="532" t="n">
        <f aca="false">N11</f>
        <v>13</v>
      </c>
      <c r="N84" s="531" t="n">
        <f aca="false">O8</f>
        <v>1</v>
      </c>
      <c r="O84" s="531" t="n">
        <f aca="false">O9</f>
        <v>0.834057656228299</v>
      </c>
      <c r="P84" s="532" t="n">
        <f aca="false">O10</f>
        <v>0</v>
      </c>
      <c r="Q84" s="532" t="n">
        <f aca="false">O11</f>
        <v>3</v>
      </c>
      <c r="R84" s="532" t="n">
        <f aca="false">F21</f>
        <v>0.81</v>
      </c>
      <c r="S84" s="532" t="n">
        <f aca="false">K11</f>
        <v>0</v>
      </c>
      <c r="T84" s="532" t="n">
        <f aca="false">K12</f>
        <v>4</v>
      </c>
      <c r="U84" s="532" t="n">
        <f aca="false">K13</f>
        <v>0</v>
      </c>
      <c r="V84" s="534" t="n">
        <f aca="false">K14</f>
        <v>1</v>
      </c>
      <c r="W84" s="535" t="n">
        <f aca="false">K15</f>
        <v>18</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26</v>
      </c>
      <c r="T87" s="280"/>
      <c r="U87" s="280"/>
      <c r="V87" s="280"/>
    </row>
    <row r="88" customFormat="false" ht="12.75" hidden="true" customHeight="false" outlineLevel="0" collapsed="false">
      <c r="P88" s="280"/>
      <c r="Q88" s="280" t="s">
        <v>2693</v>
      </c>
      <c r="R88" s="280"/>
      <c r="S88" s="488" t="n">
        <f aca="false">VLOOKUP((S87),($S$23:$U$82),2,0)</f>
        <v>52</v>
      </c>
      <c r="T88" s="280"/>
      <c r="U88" s="280"/>
      <c r="V88" s="280"/>
    </row>
    <row r="89" customFormat="false" ht="12.75" hidden="true" customHeight="false" outlineLevel="0" collapsed="false">
      <c r="Q89" s="280" t="s">
        <v>2694</v>
      </c>
      <c r="R89" s="280"/>
      <c r="S89" s="488" t="n">
        <f aca="false">VLOOKUP((S87),($S$23:$U$82),3,0)</f>
        <v>4</v>
      </c>
      <c r="T89" s="280"/>
    </row>
    <row r="90" customFormat="false" ht="12.75" hidden="false" customHeight="false" outlineLevel="0" collapsed="false">
      <c r="Q90" s="280" t="s">
        <v>2695</v>
      </c>
      <c r="R90" s="280"/>
      <c r="S90" s="538" t="n">
        <f aca="false">IF(ISERROR(SUM($T$23:$T$82)/SUM($U$23:$U$82)),"",(SUM($T$23:$T$82)-S88)/(SUM($U$23:$U$82)-S89))</f>
        <v>8.30434782608696</v>
      </c>
      <c r="T90" s="280"/>
    </row>
    <row r="91" customFormat="false" ht="12.75" hidden="false" customHeight="false" outlineLevel="0" collapsed="false">
      <c r="Q91" s="487" t="s">
        <v>2696</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2697</v>
      </c>
      <c r="R92" s="280"/>
      <c r="S92" s="280" t="n">
        <f aca="false">MATCH(S87,$S$23:$S$82,0)</f>
        <v>2</v>
      </c>
      <c r="T92" s="280"/>
    </row>
    <row r="93" customFormat="false" ht="12.75" hidden="false" customHeight="false" outlineLevel="0" collapsed="false">
      <c r="Q93" s="487" t="s">
        <v>2698</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2713</v>
      </c>
      <c r="G17" s="577"/>
      <c r="H17" s="576" t="s">
        <v>2713</v>
      </c>
      <c r="I17" s="578"/>
    </row>
    <row r="18" customFormat="false" ht="15" hidden="false" customHeight="false" outlineLevel="0" collapsed="false">
      <c r="A18" s="565" t="s">
        <v>1212</v>
      </c>
      <c r="B18" s="566" t="s">
        <v>1213</v>
      </c>
      <c r="C18" s="568"/>
      <c r="D18" s="569"/>
      <c r="F18" s="576" t="s">
        <v>2714</v>
      </c>
      <c r="G18" s="577"/>
      <c r="H18" s="576" t="s">
        <v>2714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2624</v>
      </c>
      <c r="G23" s="577"/>
      <c r="H23" s="576" t="s">
        <v>2624</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2725</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2015-04-23T10:24:49Z</dcterms:modified>
  <cp:revision>0</cp:revision>
  <dc:subject/>
  <dc:title>Feuille d'aide au calcul de l'IBMR</dc:title>
</cp:coreProperties>
</file>