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Sou"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Sou!$A$1:$O$82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Sou!$A$23:$J$84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<sst xmlns="http://schemas.openxmlformats.org/spreadsheetml/2006/main" count="7351" uniqueCount="2730">
  <si>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</si>
  <si>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</si>
  <si>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</si>
  <si>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</si>
  <si>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</si>
  <si>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</si>
  <si>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</si>
  <si>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</si>
  <si>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</si>
  <si>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</si>
  <si>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</si>
  <si>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</si>
  <si>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</si>
  <si>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</si>
  <si>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</si>
  <si>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</si>
  <si>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</si>
  <si>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</si>
  <si>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</si>
  <si>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</si>
  <si>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</si>
  <si>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</si>
  <si>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</si>
  <si>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</si>
  <si>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</si>
  <si>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</si>
  <si>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</si>
  <si>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</si>
  <si>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</si>
  <si>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</si>
  <si>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</si>
  <si>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</si>
  <si>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</si>
  <si>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</si>
  <si>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</si>
  <si>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</si>
  <si>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</si>
  <si>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</si>
  <si>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</si>
  <si>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</si>
  <si>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</si>
  <si>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</si>
  <si>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</si>
  <si>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</si>
  <si>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</si>
  <si>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</si>
  <si>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</si>
  <si>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</si>
  <si>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</si>
  <si>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</si>
  <si>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</si>
  <si>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</si>
  <si>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</si>
  <si>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</si>
  <si>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</si>
  <si>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</si>
  <si>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</si>
  <si>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</si>
  <si>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</si>
  <si>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</si>
  <si>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</si>
  <si>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</si>
  <si>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</si>
  <si>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</si>
  <si>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</si>
  <si>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</si>
  <si>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</si>
  <si>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</si>
  <si>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</si>
  <si>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</si>
  <si>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</si>
  <si>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</si>
  <si>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</si>
  <si>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</si>
  <si>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</si>
  <si>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</si>
  <si>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</si>
  <si>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</si>
  <si>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</si>
  <si>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</si>
  <si>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</si>
  <si>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</si>
  <si>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</si>
  <si>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</si>
  <si>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</si>
  <si>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</si>
  <si>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</si>
  <si>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</si>
  <si>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</si>
  <si>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</si>
  <si>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</si>
  <si>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</si>
  <si>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</si>
  <si>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</si>
  <si>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</si>
  <si>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</si>
  <si>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</si>
  <si>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</si>
  <si>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</si>
  <si>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</si>
  <si>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</si>
  <si>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</si>
  <si>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</si>
  <si>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</si>
  <si>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</si>
  <si>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</si>
  <si>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</si>
  <si>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</si>
  <si>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</si>
  <si>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</si>
  <si>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</si>
  <si>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</si>
  <si>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</si>
  <si>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</si>
  <si>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</si>
  <si>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</si>
  <si>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</si>
  <si>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</si>
  <si>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</si>
  <si>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</si>
  <si>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</si>
  <si>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</si>
  <si>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</si>
  <si>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</si>
  <si>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</si>
  <si>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</si>
  <si>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</si>
  <si>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</si>
  <si>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</si>
  <si>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</si>
  <si>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</si>
  <si>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</si>
  <si>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</si>
  <si>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</si>
  <si>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</si>
  <si>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</si>
  <si>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</si>
  <si>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</si>
  <si>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</si>
  <si>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</si>
  <si>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</si>
  <si>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</si>
  <si>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</si>
  <si>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</si>
  <si>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</si>
  <si>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</si>
  <si>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</si>
  <si>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</si>
  <si>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</si>
  <si>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</si>
  <si>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</si>
  <si>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</si>
  <si>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</si>
  <si>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</si>
  <si>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</si>
  <si>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</si>
  <si>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</si>
  <si>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</si>
  <si>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</si>
  <si>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</si>
  <si>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</si>
  <si>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</si>
  <si>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</si>
  <si>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</si>
  <si>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</si>
  <si>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</si>
  <si>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</si>
  <si>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</si>
  <si>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</si>
  <si>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</si>
  <si>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</si>
  <si>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</si>
  <si>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</si>
  <si>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</si>
  <si>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</si>
  <si>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</si>
  <si>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</si>
  <si>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</si>
  <si>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</si>
  <si>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</si>
  <si>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</si>
  <si>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</si>
  <si>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</si>
  <si>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</si>
  <si>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</si>
  <si>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</si>
  <si>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</si>
  <si>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</si>
  <si>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</si>
  <si>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</si>
  <si>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</si>
  <si>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</si>
  <si>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</si>
  <si>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</si>
  <si>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</si>
  <si>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</si>
  <si>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</si>
  <si>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</si>
  <si>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</si>
  <si>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</si>
  <si>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</si>
  <si>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</si>
  <si>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</si>
  <si>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</si>
  <si>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</si>
  <si>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</si>
  <si>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</si>
  <si>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</si>
  <si>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</si>
  <si>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</si>
  <si>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</si>
  <si>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</si>
  <si>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</si>
  <si>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</si>
  <si>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</si>
  <si>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</si>
  <si>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</si>
  <si>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</si>
  <si>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</si>
  <si>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</si>
  <si>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</si>
  <si>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</si>
  <si>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</si>
  <si>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</si>
  <si>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</si>
  <si>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</si>
  <si>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</si>
  <si>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</si>
  <si>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</si>
  <si>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</si>
  <si>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</si>
  <si>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</si>
  <si>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</si>
  <si>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</si>
  <si>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</si>
  <si>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</si>
  <si>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</si>
  <si>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</si>
  <si>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</si>
  <si>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</si>
  <si>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</si>
  <si>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</si>
  <si>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</si>
  <si>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</si>
  <si>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</si>
  <si>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</si>
  <si>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</si>
  <si>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</si>
  <si>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</si>
  <si>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</si>
  <si>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</si>
  <si>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</si>
  <si>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</si>
  <si>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</si>
  <si>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</si>
  <si>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</si>
  <si>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</si>
  <si>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</si>
  <si>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</si>
  <si>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</si>
  <si>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</si>
  <si>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</si>
  <si>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</si>
  <si>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</si>
  <si>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</si>
  <si>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</si>
  <si>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</si>
  <si>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</si>
  <si>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</si>
  <si>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</si>
  <si>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</si>
  <si>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</si>
  <si>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</si>
  <si>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</si>
  <si>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</si>
  <si>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</si>
  <si>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</si>
  <si>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</si>
  <si>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</si>
  <si>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</si>
  <si>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</si>
  <si>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</si>
  <si>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</si>
  <si>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</si>
  <si>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</si>
  <si>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</si>
  <si>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</si>
  <si>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</si>
  <si>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</si>
  <si>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</si>
  <si>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</si>
  <si>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</si>
  <si>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</si>
  <si>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</si>
  <si>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</si>
  <si>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</si>
  <si>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</si>
  <si>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</si>
  <si>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</si>
  <si>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</si>
  <si>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</si>
  <si>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</si>
  <si>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</si>
  <si>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</si>
  <si>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</si>
  <si>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</si>
  <si>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</si>
  <si>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</si>
  <si>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</si>
  <si>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</si>
  <si>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</si>
  <si>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</si>
  <si>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</si>
  <si>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</si>
  <si>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</si>
  <si>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</si>
  <si>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</si>
  <si>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</si>
  <si>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</si>
  <si>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</si>
  <si>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</si>
  <si>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</si>
  <si>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</si>
  <si>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</si>
  <si>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</si>
  <si>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</si>
  <si>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</si>
  <si>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</si>
  <si>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</si>
  <si>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</si>
  <si>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</si>
  <si>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</si>
  <si>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</si>
  <si>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</si>
  <si>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</si>
  <si>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</si>
  <si>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</si>
  <si>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</si>
  <si>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</si>
  <si>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</si>
  <si>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</si>
  <si>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</si>
  <si>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</si>
  <si>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</si>
  <si>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</si>
  <si>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</si>
  <si>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</si>
  <si>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</si>
  <si>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</si>
  <si>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</si>
  <si>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</si>
  <si>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</si>
  <si>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</si>
  <si>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</si>
  <si>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</si>
  <si>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</si>
  <si>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</si>
  <si>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</si>
  <si>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</si>
  <si>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</si>
  <si>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</si>
  <si>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</si>
  <si>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</si>
  <si>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</si>
  <si>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</si>
  <si>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</si>
  <si>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</si>
  <si>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</si>
  <si>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</si>
  <si>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</si>
  <si>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</si>
  <si>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</si>
  <si>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</si>
  <si>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</si>
  <si>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</si>
  <si>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</si>
  <si>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</si>
  <si>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</si>
  <si>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</si>
  <si>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</si>
  <si>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</si>
  <si>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</si>
  <si>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</si>
  <si>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</si>
  <si>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</si>
  <si>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</si>
  <si>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</si>
  <si>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</si>
  <si>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</si>
  <si>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</si>
  <si>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</si>
  <si>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</si>
  <si>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</si>
  <si>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</si>
  <si>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</si>
  <si>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</si>
  <si>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</si>
  <si>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</si>
  <si>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</si>
  <si>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</si>
  <si>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</si>
  <si>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</si>
  <si>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</si>
  <si>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</si>
  <si>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</si>
  <si>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</si>
  <si>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</si>
  <si>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</si>
  <si>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</si>
  <si>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</si>
  <si>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</si>
  <si>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</si>
  <si>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</si>
  <si>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</si>
  <si>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</si>
  <si>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</si>
  <si>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</si>
  <si>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</si>
  <si>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</si>
  <si>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</si>
  <si>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</si>
  <si>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</si>
  <si>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</si>
  <si>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</si>
  <si>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</si>
  <si>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</si>
  <si>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</si>
  <si>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</si>
  <si>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</si>
  <si>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</si>
  <si>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</si>
  <si>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</si>
  <si>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</si>
  <si>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</si>
  <si>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</si>
  <si>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</si>
  <si>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</si>
  <si>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</si>
  <si>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</si>
  <si>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</si>
  <si>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</si>
  <si>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</si>
  <si>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</si>
  <si>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</si>
  <si>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</si>
  <si>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</si>
  <si>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</si>
  <si>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</si>
  <si>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</si>
  <si>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</si>
  <si>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</si>
  <si>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</si>
  <si>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</si>
  <si>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</si>
  <si>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</si>
  <si>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</si>
  <si>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</si>
  <si>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</si>
  <si>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</si>
  <si>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</si>
  <si>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</si>
  <si>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</si>
  <si>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</si>
  <si>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</si>
  <si>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</si>
  <si>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</si>
  <si>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</si>
  <si>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</si>
  <si>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</si>
  <si>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</si>
  <si>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</si>
  <si>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</si>
  <si>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</si>
  <si>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</si>
  <si>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</si>
  <si>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</si>
  <si>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</si>
  <si>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</si>
  <si>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</si>
  <si>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</si>
  <si>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</si>
  <si>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</si>
  <si>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</si>
  <si>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</si>
  <si>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</si>
  <si>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</si>
  <si>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</si>
  <si>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</si>
  <si>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</si>
  <si>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</si>
  <si>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</si>
  <si>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</si>
  <si>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</si>
  <si>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</si>
  <si>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</si>
  <si>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</si>
  <si>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</si>
  <si>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</si>
  <si>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</si>
  <si>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</si>
  <si>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</si>
  <si>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</si>
  <si>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</si>
  <si>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</si>
  <si>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</si>
  <si>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</si>
  <si>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</si>
  <si>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</si>
  <si>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</si>
  <si>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</si>
  <si>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</si>
  <si>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</si>
  <si>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</si>
  <si>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</si>
  <si>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</si>
  <si>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</si>
  <si>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</si>
  <si>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</si>
  <si>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</si>
  <si>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</si>
  <si>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</si>
  <si>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</si>
  <si>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</si>
  <si>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</si>
  <si>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</si>
  <si>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</si>
  <si>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</si>
  <si>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</si>
  <si>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</si>
  <si>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</si>
  <si>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</si>
  <si>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</si>
  <si>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</si>
  <si>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</si>
  <si>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</si>
  <si>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</si>
  <si>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</si>
  <si>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</si>
  <si>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</si>
  <si>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</si>
  <si>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</si>
  <si>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</si>
  <si>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</si>
  <si>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</si>
  <si>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</si>
  <si>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</si>
  <si>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</si>
  <si>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</si>
  <si>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</si>
  <si>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</si>
  <si>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</si>
  <si>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</si>
  <si>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</si>
  <si>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</si>
  <si>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</si>
  <si>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</si>
  <si>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</si>
  <si>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</si>
  <si>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</si>
  <si>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</si>
  <si>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</si>
  <si>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</si>
  <si>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</si>
  <si>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</si>
  <si>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</si>
  <si>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</si>
  <si>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</si>
  <si>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</si>
  <si>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</si>
  <si>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</si>
  <si>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</si>
  <si>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</si>
  <si>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</si>
  <si>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</si>
  <si>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</si>
  <si>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</si>
  <si>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</si>
  <si>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</si>
  <si>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</si>
  <si>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</si>
  <si>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</si>
  <si>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</si>
  <si>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</si>
  <si>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</si>
  <si>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</si>
  <si>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</si>
  <si>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</si>
  <si>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</si>
  <si>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</si>
  <si>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</si>
  <si>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</si>
  <si>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</si>
  <si>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</si>
  <si>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</si>
  <si>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</si>
  <si>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</si>
  <si>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</si>
  <si>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</si>
  <si>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</si>
  <si>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</si>
  <si>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</si>
  <si>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</si>
  <si>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</si>
  <si>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</si>
  <si>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</si>
  <si>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</si>
  <si>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</si>
  <si>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</si>
  <si>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</si>
  <si>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</si>
  <si>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</si>
  <si>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</si>
  <si>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</si>
  <si>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</si>
  <si>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</si>
  <si>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</si>
  <si>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</si>
  <si>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</si>
  <si>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</si>
  <si>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</si>
  <si>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</si>
  <si>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</si>
  <si>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</si>
  <si>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</si>
  <si>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</si>
  <si>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</si>
  <si>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</si>
  <si>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</si>
  <si>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</si>
  <si>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</si>
  <si>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</si>
  <si>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</si>
  <si>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</si>
  <si>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</si>
  <si>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</si>
  <si>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</si>
  <si>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</si>
  <si>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</si>
  <si>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</si>
  <si>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</si>
  <si>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</si>
  <si>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</si>
  <si>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</si>
  <si>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</si>
  <si>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</si>
  <si>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</si>
  <si>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</si>
  <si>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</si>
  <si>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</si>
  <si>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</si>
  <si>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</si>
  <si>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</si>
  <si>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</si>
  <si>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</si>
  <si>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</si>
  <si>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</si>
  <si>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</si>
  <si>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</si>
  <si>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</si>
  <si>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</si>
  <si>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</si>
  <si>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</si>
  <si>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</si>
  <si>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</si>
  <si>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</si>
  <si>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</si>
  <si>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</si>
  <si>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</si>
  <si>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</si>
  <si>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</si>
  <si>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</si>
  <si>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</si>
  <si>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</si>
  <si>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</si>
  <si>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</si>
  <si>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</si>
  <si>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</si>
  <si>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</si>
  <si>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</si>
  <si>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</si>
  <si>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</si>
  <si>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</si>
  <si>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</si>
  <si>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</si>
  <si>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</si>
  <si>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</si>
  <si>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</si>
  <si>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</si>
  <si>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</si>
  <si>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</si>
  <si>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</si>
  <si>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</si>
  <si>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</si>
  <si>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</si>
  <si>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</si>
  <si>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</si>
  <si>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</si>
  <si>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</si>
  <si>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</si>
  <si>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</si>
  <si>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</si>
  <si>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</si>
  <si>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</si>
  <si>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</si>
  <si>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</si>
  <si>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</si>
  <si>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</si>
  <si>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</si>
  <si>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</si>
  <si>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</si>
  <si>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</si>
  <si>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</si>
  <si>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</si>
  <si>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</si>
  <si>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</si>
  <si>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</si>
  <si>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</si>
  <si>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</si>
  <si>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</si>
  <si>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</si>
  <si>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</si>
  <si>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</si>
  <si>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</si>
  <si>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</si>
  <si>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</si>
  <si>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</si>
  <si>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</si>
  <si>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</si>
  <si>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</si>
  <si>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</si>
  <si>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</si>
  <si>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</si>
  <si>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</si>
  <si>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</si>
  <si>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</si>
  <si>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</si>
  <si>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</si>
  <si>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</si>
  <si>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</si>
  <si>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</si>
  <si>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</si>
  <si>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</si>
  <si>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</si>
  <si>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</si>
  <si>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</si>
  <si>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</si>
  <si>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</si>
  <si>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</si>
  <si>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</si>
  <si>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</si>
  <si>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</si>
  <si>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</si>
  <si>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</si>
  <si>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</si>
  <si>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</si>
  <si>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</si>
  <si>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</si>
  <si>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</si>
  <si>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</si>
  <si>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</si>
  <si>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</si>
  <si>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</si>
  <si>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</si>
  <si>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</si>
  <si>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</si>
  <si>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</si>
  <si>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</si>
  <si>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</si>
  <si>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</si>
  <si>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</si>
  <si>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</si>
  <si>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</si>
  <si>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</si>
  <si>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</si>
  <si>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</si>
  <si>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</si>
  <si>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</si>
  <si>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</si>
  <si>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</si>
  <si>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</si>
  <si>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</si>
  <si>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</si>
  <si>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</si>
  <si>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</si>
  <si>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</si>
  <si>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</si>
  <si>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</si>
  <si>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</si>
  <si>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</si>
  <si>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</si>
  <si>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</si>
  <si>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</si>
  <si>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</si>
  <si>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</si>
  <si>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</si>
  <si>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</si>
  <si>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</si>
  <si>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</si>
  <si>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</si>
  <si>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</si>
  <si>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</si>
  <si>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</si>
  <si>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</si>
  <si>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</si>
  <si>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</si>
  <si>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</si>
  <si>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</si>
  <si>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</si>
  <si>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</si>
  <si>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</si>
  <si>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</si>
  <si>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</si>
  <si>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</si>
  <si>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</si>
  <si>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</si>
  <si>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</si>
  <si>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</si>
  <si>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</si>
  <si>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</si>
  <si>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</si>
  <si>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</si>
  <si>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</si>
  <si>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</si>
  <si>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</si>
  <si>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</si>
  <si>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</si>
  <si>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</si>
  <si>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</si>
  <si>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</si>
  <si>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</si>
  <si>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</si>
  <si>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</si>
  <si>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</si>
  <si>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</si>
  <si>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</si>
  <si>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</si>
  <si>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</si>
  <si>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</si>
  <si>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</si>
  <si>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</si>
  <si>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</si>
  <si>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</si>
  <si>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</si>
  <si>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</si>
  <si>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</si>
  <si>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</si>
  <si>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</si>
  <si>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</si>
  <si>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</si>
  <si>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</si>
  <si>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</si>
  <si>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</si>
  <si>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</si>
  <si>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</si>
  <si>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</si>
  <si>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</si>
  <si>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</si>
  <si>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</si>
  <si>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</si>
  <si>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</si>
  <si>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</si>
  <si>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</si>
  <si>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</si>
  <si>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</si>
  <si>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</si>
  <si>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</si>
  <si>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</si>
  <si>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</si>
  <si>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</si>
  <si>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</si>
  <si>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</si>
  <si>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</si>
  <si>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</si>
  <si>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</si>
  <si>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</si>
  <si>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</si>
  <si>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</si>
  <si>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</si>
  <si>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</si>
  <si>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</si>
  <si>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</si>
  <si>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</si>
  <si>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</si>
  <si>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</si>
  <si>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</si>
  <si>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</si>
  <si>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</si>
  <si>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</si>
  <si>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</si>
  <si>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</si>
  <si>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</si>
  <si>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</si>
  <si>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</si>
  <si>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</si>
  <si>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</si>
  <si>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</si>
  <si>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</si>
  <si>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</si>
  <si>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</si>
  <si>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</si>
  <si>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</si>
  <si>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</si>
  <si>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</si>
  <si>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</si>
  <si>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</si>
  <si>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</si>
  <si>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</si>
  <si>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</si>
  <si>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</si>
  <si>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</si>
  <si>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</si>
  <si>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</si>
  <si>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</si>
  <si>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</si>
  <si>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</si>
  <si>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</si>
  <si>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</si>
  <si>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</si>
  <si>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</si>
  <si>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</si>
  <si>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</si>
  <si>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</si>
  <si>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</si>
  <si>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</si>
  <si>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</si>
  <si>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</si>
  <si>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</si>
  <si>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</si>
  <si>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</si>
  <si>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</si>
  <si>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</si>
  <si>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</si>
  <si>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</si>
  <si>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</si>
  <si>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</si>
  <si>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</si>
  <si>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</si>
  <si>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</si>
  <si>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</si>
  <si>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</si>
  <si>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</si>
  <si>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</si>
  <si>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</si>
  <si>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</si>
  <si>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</si>
  <si>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</si>
  <si>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</si>
  <si>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</si>
  <si>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</si>
  <si>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</si>
  <si>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</si>
  <si>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</si>
  <si>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</si>
  <si>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</si>
  <si>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</si>
  <si>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</si>
  <si>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</si>
  <si>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</si>
  <si>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</si>
  <si>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</si>
  <si>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</si>
  <si>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</si>
  <si>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</si>
  <si>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</si>
  <si>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</si>
  <si>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</si>
  <si>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</si>
  <si>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</si>
  <si>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</si>
  <si>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</si>
  <si>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</si>
  <si>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</si>
  <si>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</si>
  <si>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</si>
  <si>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</si>
  <si>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</si>
  <si>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</si>
  <si>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</si>
  <si>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</si>
  <si>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</si>
  <si>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</si>
  <si>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</si>
  <si>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</si>
  <si>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</si>
  <si>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</si>
  <si>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</si>
  <si>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</si>
  <si>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</si>
  <si>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</si>
  <si>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</si>
  <si>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</si>
  <si>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</si>
  <si>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</si>
  <si>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</si>
  <si>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</si>
  <si>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</si>
  <si>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</si>
  <si>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</si>
  <si>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</si>
  <si>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</si>
  <si>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</si>
  <si>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</si>
  <si>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</si>
  <si>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</si>
  <si>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</si>
  <si>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</si>
  <si>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</si>
  <si>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</si>
  <si>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</si>
  <si>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</si>
  <si>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</si>
  <si>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</si>
  <si>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</si>
  <si>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</si>
  <si>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</si>
  <si>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</si>
  <si>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</si>
  <si>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</si>
  <si>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</si>
  <si>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</si>
  <si>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</si>
  <si>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</si>
  <si>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</si>
  <si>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</si>
  <si>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</si>
  <si>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</si>
  <si>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</si>
  <si>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</si>
  <si>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</si>
  <si>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</si>
  <si>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</si>
  <si>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</si>
  <si>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</si>
  <si>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</si>
  <si>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</si>
  <si>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</si>
  <si>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</si>
  <si>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</si>
  <si>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</si>
  <si>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</si>
  <si>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</si>
  <si>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</si>
  <si>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</si>
  <si>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</si>
  <si>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</si>
  <si>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</si>
  <si>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</si>
  <si>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</si>
  <si>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</si>
  <si>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</si>
  <si>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</si>
  <si>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</si>
  <si>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</si>
  <si>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</si>
  <si>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</si>
  <si>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</si>
  <si>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</si>
  <si>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</si>
  <si>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</si>
  <si>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</si>
  <si>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</si>
  <si>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</si>
  <si>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</si>
  <si>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</si>
  <si>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</si>
  <si>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</si>
  <si>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</si>
  <si>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</si>
  <si>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</si>
  <si>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</si>
  <si>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</si>
  <si>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</si>
  <si>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</si>
  <si>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</si>
  <si>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</si>
  <si>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</si>
  <si>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</si>
  <si>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</si>
  <si>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</si>
  <si>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</si>
  <si>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</si>
  <si>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</si>
  <si>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</si>
  <si>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</si>
  <si>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</si>
  <si>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</si>
  <si>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</si>
  <si>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</si>
  <si>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</si>
  <si>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</si>
  <si>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</si>
  <si>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</si>
  <si>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</si>
  <si>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</si>
  <si>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</si>
  <si>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</si>
  <si>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</si>
  <si>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</si>
  <si>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</si>
  <si>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</si>
  <si>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</si>
  <si>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</si>
  <si>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</si>
  <si>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</si>
  <si>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</si>
  <si>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</si>
  <si>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</si>
  <si>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</si>
  <si>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</si>
  <si>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</si>
  <si>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</si>
  <si>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</si>
  <si>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</si>
  <si>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</si>
  <si>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</si>
  <si>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</si>
  <si>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</si>
  <si>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</si>
  <si>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</si>
  <si>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</si>
  <si>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</si>
  <si>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</si>
  <si>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</si>
  <si>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</si>
  <si>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</si>
  <si>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</si>
  <si>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</si>
  <si>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</si>
  <si>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</si>
  <si>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</si>
  <si>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</si>
  <si>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</si>
  <si>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</si>
  <si>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</si>
  <si>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</si>
  <si>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</si>
  <si>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</si>
  <si>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</si>
  <si>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</si>
  <si>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</si>
  <si>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</si>
  <si>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</si>
  <si>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</si>
  <si>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</si>
  <si>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</si>
  <si>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</si>
  <si>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</si>
  <si>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</si>
  <si>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</si>
  <si>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</si>
  <si>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</si>
  <si>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</si>
  <si>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</si>
  <si>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</si>
  <si>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</si>
  <si>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</si>
  <si>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</si>
  <si>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</si>
  <si>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</si>
  <si>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</si>
  <si>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</si>
  <si>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</si>
  <si>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</si>
  <si>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</si>
  <si>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</si>
  <si>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</si>
  <si>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</si>
  <si>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</si>
  <si>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</si>
  <si>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</si>
  <si>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</si>
  <si>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</si>
  <si>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</si>
  <si>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</si>
  <si>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</si>
  <si>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</si>
  <si>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</si>
  <si>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</si>
  <si>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</si>
  <si>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</si>
  <si>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</si>
  <si>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</si>
  <si>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</si>
  <si>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</si>
  <si>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</si>
  <si>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</si>
  <si>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</si>
  <si>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</si>
  <si>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</si>
  <si>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</si>
  <si>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</si>
  <si>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</si>
  <si>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</si>
  <si>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</si>
  <si>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</si>
  <si>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</si>
  <si>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</si>
  <si>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</si>
  <si>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</si>
  <si>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</si>
  <si>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</si>
  <si>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</si>
  <si>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</si>
  <si>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</si>
  <si>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</si>
  <si>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</si>
  <si>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</si>
  <si>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</si>
  <si>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</si>
  <si>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</si>
  <si>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</si>
  <si>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</si>
  <si>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</si>
  <si>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</si>
  <si>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</si>
  <si>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</si>
  <si>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</si>
  <si>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</si>
  <si>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</si>
  <si>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</si>
  <si>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</si>
  <si>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</si>
  <si>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</si>
  <si>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</si>
  <si>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</si>
  <si>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</si>
  <si>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</si>
  <si>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</si>
  <si>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</si>
  <si>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</si>
  <si>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</si>
  <si>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</si>
  <si>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</si>
  <si>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</si>
  <si>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</si>
  <si>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</si>
  <si>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</si>
  <si>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</si>
  <si>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</si>
  <si>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</si>
  <si>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</si>
  <si>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</si>
  <si>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</si>
  <si>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</si>
  <si>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</si>
  <si>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</si>
  <si>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</si>
  <si>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</si>
  <si>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</si>
  <si>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</si>
  <si>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</si>
  <si>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</si>
  <si>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</si>
  <si>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</si>
  <si>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</si>
  <si>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</si>
  <si>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</si>
  <si>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</si>
  <si>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</si>
  <si>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</si>
  <si>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</si>
  <si>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</si>
  <si>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</si>
  <si>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</si>
  <si>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</si>
  <si>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</si>
  <si>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</si>
  <si>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</si>
  <si>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</si>
  <si>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</si>
  <si>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</si>
  <si>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</si>
  <si>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</si>
  <si>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</si>
  <si>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</si>
  <si>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</si>
  <si>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</si>
  <si>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</si>
  <si>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</si>
  <si>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</si>
  <si>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</si>
  <si>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</si>
  <si>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</si>
  <si>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</si>
  <si>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</si>
  <si>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</si>
  <si>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</si>
  <si>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</si>
  <si>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</si>
  <si>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</si>
  <si>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</si>
  <si>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</si>
  <si>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</si>
  <si>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</si>
  <si>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</si>
  <si>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</si>
  <si>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</si>
  <si>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</si>
  <si>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</si>
  <si>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</si>
  <si>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</si>
  <si>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</si>
  <si>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</si>
  <si>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</si>
  <si>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</si>
  <si>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</si>
  <si>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</si>
  <si>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</si>
  <si>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</si>
  <si>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</si>
  <si>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</si>
  <si>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</si>
  <si>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</si>
  <si>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</si>
  <si>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</si>
  <si>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</si>
  <si>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</si>
  <si>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</si>
  <si>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</si>
  <si>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</si>
  <si>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</si>
  <si>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</si>
  <si>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</si>
  <si>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</si>
  <si>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</si>
  <si>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</si>
  <si>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</si>
  <si>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</si>
  <si>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</si>
  <si>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</si>
  <si>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</si>
  <si>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</si>
  <si>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</si>
  <si>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</si>
  <si>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</si>
  <si>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</si>
  <si>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</si>
  <si>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</si>
  <si>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</si>
  <si>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</si>
  <si>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</si>
  <si>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</si>
  <si>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</si>
  <si>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</si>
  <si>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</si>
  <si>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</si>
  <si>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</si>
  <si>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</si>
  <si>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</si>
  <si>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</si>
  <si>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</si>
  <si>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</si>
  <si>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</si>
  <si>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</si>
  <si>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</si>
  <si>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</si>
  <si>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</si>
  <si>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</si>
  <si>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</si>
  <si>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</si>
  <si>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</si>
  <si>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</si>
  <si>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</si>
  <si>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</si>
  <si>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</si>
  <si>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</si>
  <si>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</si>
  <si>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</si>
  <si>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</si>
  <si>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</si>
  <si>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</si>
  <si>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</si>
  <si>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</si>
  <si>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</si>
  <si>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</si>
  <si>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</si>
  <si>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</si>
  <si>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</si>
  <si>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</si>
  <si>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</si>
  <si>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</si>
  <si>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</si>
  <si>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</si>
  <si>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</si>
  <si>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</si>
  <si>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</si>
  <si>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</si>
  <si>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</si>
  <si>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</si>
  <si>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</si>
  <si>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</si>
  <si>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</si>
  <si>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</si>
  <si>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</si>
  <si>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</si>
  <si>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</si>
  <si>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</si>
  <si>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</si>
  <si>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</si>
  <si>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</si>
  <si>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</si>
  <si>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</si>
  <si>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</si>
  <si>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</si>
  <si>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</si>
  <si>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</si>
  <si>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</si>
  <si>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</si>
  <si>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</si>
  <si>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</si>
  <si>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</si>
  <si>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</si>
  <si>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</si>
  <si>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</si>
  <si>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</si>
  <si>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</si>
  <si>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</si>
  <si>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</si>
  <si>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</si>
  <si>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</si>
  <si>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</si>
  <si>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</si>
  <si>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</si>
  <si>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</si>
  <si>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</si>
  <si>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</si>
  <si>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</si>
  <si>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</si>
  <si>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</si>
  <si>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</si>
  <si>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</si>
  <si>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</si>
  <si>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</si>
  <si>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</si>
  <si>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</si>
  <si>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</si>
  <si>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</si>
  <si>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</si>
  <si>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</si>
  <si>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</si>
  <si>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</si>
  <si>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</si>
  <si>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</si>
  <si>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</si>
  <si>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</si>
  <si>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</si>
  <si>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</si>
  <si>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</si>
  <si>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</si>
  <si>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</si>
  <si>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</si>
  <si>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</si>
  <si>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</si>
  <si>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</si>
  <si>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</si>
  <si>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</si>
  <si>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</si>
  <si>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</si>
  <si>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</si>
  <si>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</si>
  <si>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</si>
  <si>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</si>
  <si>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</si>
  <si>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</si>
  <si>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</si>
  <si>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</si>
  <si>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</si>
  <si>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</si>
  <si>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</si>
  <si>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</si>
  <si>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</si>
  <si>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</si>
  <si>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</si>
  <si>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</si>
  <si>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</si>
  <si>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</si>
  <si>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</si>
  <si>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</si>
  <si>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</si>
  <si>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</si>
  <si>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</si>
  <si>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</si>
  <si>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</si>
  <si>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</si>
  <si>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</si>
  <si>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</si>
  <si>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</si>
  <si>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</si>
  <si>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</si>
  <si>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</si>
  <si>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</si>
  <si>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</si>
  <si>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</si>
  <si>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</si>
  <si>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</si>
  <si>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</si>
  <si>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</si>
  <si>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</si>
  <si>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</si>
  <si>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</si>
  <si>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</si>
  <si>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</si>
  <si>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</si>
  <si>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</si>
  <si>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</si>
  <si>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</si>
  <si>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</si>
  <si>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</si>
  <si>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</si>
  <si>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</si>
  <si>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</si>
  <si>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</si>
  <si>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</si>
  <si>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</si>
  <si>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</si>
  <si>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</si>
  <si>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</si>
  <si>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</si>
  <si>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</si>
  <si>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</si>
  <si>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</si>
  <si>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</si>
  <si>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</si>
  <si>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</si>
  <si>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</si>
  <si>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</si>
  <si>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</si>
  <si>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</si>
  <si>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</si>
  <si>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</si>
  <si>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</si>
  <si>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</si>
  <si>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</si>
  <si>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</si>
  <si>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</si>
  <si>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</si>
  <si>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</si>
  <si>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</si>
  <si>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</si>
  <si>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</si>
  <si>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</si>
  <si>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</si>
  <si>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</si>
  <si>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</si>
  <si>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</si>
  <si>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</si>
  <si>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</si>
  <si>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</si>
  <si>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</si>
  <si>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</si>
  <si>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</si>
  <si>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</si>
  <si>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</si>
  <si>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</si>
  <si>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</si>
  <si>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</si>
  <si>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</si>
  <si>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</si>
  <si>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</si>
  <si>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</si>
  <si>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</si>
  <si>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</si>
  <si>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</si>
  <si>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</si>
  <si>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</si>
  <si>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</si>
  <si>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</si>
  <si>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</si>
  <si>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</si>
  <si>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</si>
  <si>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</si>
  <si>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</si>
  <si>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</si>
  <si>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</si>
  <si>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</si>
  <si>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</si>
  <si>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</si>
  <si>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</si>
  <si>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</si>
  <si>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</si>
  <si>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</si>
  <si>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</si>
  <si>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</si>
  <si>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</si>
  <si>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</si>
  <si>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</si>
  <si>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</si>
  <si>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</si>
  <si>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</si>
  <si>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</si>
  <si>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</si>
  <si>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</si>
  <si>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</si>
  <si>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</si>
  <si>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</si>
  <si>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</si>
  <si>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</si>
  <si>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</si>
  <si>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</si>
  <si>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</si>
  <si>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</si>
  <si>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</si>
  <si>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</si>
  <si>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</si>
  <si>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</si>
  <si>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</si>
  <si>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</si>
  <si>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</si>
  <si>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</si>
  <si>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</si>
  <si>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</si>
  <si>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</si>
  <si>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</si>
  <si>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</si>
  <si>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</si>
  <si>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</si>
  <si>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</si>
  <si>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</si>
  <si>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</si>
  <si>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</si>
  <si>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</si>
  <si>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</si>
  <si>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</si>
  <si>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</si>
  <si>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</si>
  <si>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</si>
  <si>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</si>
  <si>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</si>
  <si>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</si>
  <si>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</si>
  <si>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</si>
  <si>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</si>
  <si>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</si>
  <si>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</si>
  <si>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</si>
  <si>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</si>
  <si>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</si>
  <si>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</si>
  <si>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</si>
  <si>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</si>
  <si>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</si>
  <si>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</si>
  <si>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</si>
  <si>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</si>
  <si>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</si>
  <si>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</si>
  <si>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</si>
  <si>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</si>
  <si>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</si>
  <si>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</si>
  <si>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</si>
  <si>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</si>
  <si>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</si>
  <si>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</si>
  <si>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</si>
  <si>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</si>
  <si>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</si>
  <si>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</si>
  <si>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</si>
  <si>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</si>
  <si>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</si>
  <si>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</si>
  <si>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</si>
  <si>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</si>
  <si>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</si>
  <si>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</si>
  <si>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</si>
  <si>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</si>
  <si>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</si>
  <si>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</si>
  <si>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</si>
  <si>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</si>
  <si>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</si>
  <si>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</si>
  <si>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</si>
  <si>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</si>
  <si>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</si>
  <si>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</si>
  <si>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</si>
  <si>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</si>
  <si>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</si>
  <si>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</si>
  <si>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</si>
  <si>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</si>
  <si>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</si>
  <si>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</si>
  <si>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</si>
  <si>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</si>
  <si>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</si>
  <si>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</si>
  <si>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</si>
  <si>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</si>
  <si>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</si>
  <si>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</si>
  <si>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</si>
  <si>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</si>
  <si>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</si>
  <si>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</si>
  <si>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</si>
  <si>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</si>
  <si>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</si>
  <si>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</si>
  <si>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</si>
  <si>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</si>
  <si>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</si>
  <si>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</si>
  <si>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</si>
  <si>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</si>
  <si>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</si>
  <si>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</si>
  <si>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</si>
  <si>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</si>
  <si>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</si>
  <si>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</si>
  <si>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</si>
  <si>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</si>
  <si>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</si>
  <si>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</si>
  <si>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</si>
  <si>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</si>
  <si>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</si>
  <si>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</si>
  <si>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</si>
  <si>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</si>
  <si>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</si>
  <si>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</si>
  <si>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</si>
  <si>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</si>
  <si>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</si>
  <si>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</si>
  <si>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</si>
  <si>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</si>
  <si>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</si>
  <si>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</si>
  <si>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</si>
  <si>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</si>
  <si>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</si>
  <si>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</si>
  <si>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</si>
  <si>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</si>
  <si>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</si>
  <si>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</si>
  <si>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</si>
  <si>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</si>
  <si>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</si>
  <si>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</si>
  <si>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</si>
  <si>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</si>
  <si>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</si>
  <si>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</si>
  <si>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</si>
  <si>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</si>
  <si>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</si>
  <si>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</si>
  <si>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</si>
  <si>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</si>
  <si>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</si>
  <si>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</si>
  <si>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</si>
  <si>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</si>
  <si>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</si>
  <si>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</si>
  <si>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</si>
  <si>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</si>
  <si>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</si>
  <si>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</si>
  <si>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</si>
  <si>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</si>
  <si>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</si>
  <si>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</si>
  <si>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</si>
  <si>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</si>
  <si>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</si>
  <si>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</si>
  <si>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</si>
  <si>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</si>
  <si>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</si>
  <si>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</si>
  <si>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</si>
  <si>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</si>
  <si>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</si>
  <si>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</si>
  <si>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</si>
  <si>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</si>
  <si>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</si>
  <si>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</si>
  <si>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</si>
  <si>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</si>
  <si>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</si>
  <si>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</si>
  <si>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</si>
  <si>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</si>
  <si>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</si>
  <si>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</si>
  <si>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</si>
  <si>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</si>
  <si>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</si>
  <si>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</si>
  <si>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</si>
  <si>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</si>
  <si>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</si>
  <si>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</si>
  <si>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</si>
  <si>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</si>
  <si>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</si>
  <si>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</si>
  <si>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</si>
  <si>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</si>
  <si>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</si>
  <si>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</si>
  <si>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</si>
  <si>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</si>
  <si>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</si>
  <si>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</si>
  <si>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</si>
  <si>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</si>
  <si>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</si>
  <si>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</si>
  <si>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</si>
  <si>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</si>
  <si>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</si>
  <si>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</si>
  <si>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</si>
  <si>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</si>
  <si>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</si>
  <si>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</si>
  <si>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</si>
  <si>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</si>
  <si>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</si>
  <si>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</si>
  <si>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</si>
  <si>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</si>
  <si>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</si>
  <si>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</si>
  <si>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</si>
  <si>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</si>
  <si>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</si>
  <si>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</si>
  <si>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</si>
  <si>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</si>
  <si>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</si>
  <si>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</si>
  <si>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</si>
  <si>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</si>
  <si>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</si>
  <si>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</si>
  <si>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</si>
  <si>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</si>
  <si>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</si>
  <si>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</si>
  <si>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</si>
  <si>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</si>
  <si>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</si>
  <si>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</si>
  <si>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</si>
  <si>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</si>
  <si>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</si>
  <si>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</si>
  <si>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</si>
  <si>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</si>
  <si>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</si>
  <si>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</si>
  <si>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</si>
  <si>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</si>
  <si>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</si>
  <si>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</si>
  <si>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</si>
  <si>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</si>
  <si>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</si>
  <si>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</si>
  <si>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</si>
  <si>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</si>
  <si>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</si>
  <si>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</si>
  <si>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</si>
  <si>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</si>
  <si>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</si>
  <si>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</si>
  <si>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</si>
  <si>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</si>
  <si>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</si>
  <si>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</si>
  <si>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</si>
  <si>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</si>
  <si>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</si>
  <si>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</si>
  <si>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</si>
  <si>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</si>
  <si>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</si>
  <si>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</si>
  <si>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</si>
  <si>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</si>
  <si>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</si>
  <si>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</si>
  <si>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</si>
  <si>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</si>
  <si>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</si>
  <si>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</si>
  <si>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</si>
  <si>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</si>
  <si>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</si>
  <si>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</si>
  <si>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</si>
  <si>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</si>
  <si>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</si>
  <si>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</si>
  <si>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</si>
  <si>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</si>
  <si>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</si>
  <si>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</si>
  <si>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</si>
  <si>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</si>
  <si>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</si>
  <si>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</si>
  <si>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</si>
  <si>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</si>
  <si>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</si>
  <si>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</si>
  <si>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</si>
  <si>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</si>
  <si>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</si>
  <si>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</si>
  <si>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</si>
  <si>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</si>
  <si>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</si>
  <si>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</si>
  <si>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</si>
  <si>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</si>
  <si>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</si>
  <si>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</si>
  <si>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</si>
  <si>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</si>
  <si>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</si>
  <si>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</si>
  <si>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</si>
  <si>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</si>
  <si>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</si>
  <si>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</si>
  <si>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</si>
  <si>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</si>
  <si>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</si>
  <si>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</si>
  <si>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</si>
  <si>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</si>
  <si>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</si>
  <si>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</si>
  <si>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</si>
  <si>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</si>
  <si>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</si>
  <si>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</si>
  <si>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</si>
  <si>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</si>
  <si>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</si>
  <si>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</si>
  <si>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</si>
  <si>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</si>
  <si>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</si>
  <si>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</si>
  <si>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</si>
  <si>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</si>
  <si>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</si>
  <si>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</si>
  <si>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</si>
  <si>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</si>
  <si>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</si>
  <si>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</si>
  <si>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</si>
  <si>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</si>
  <si>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</si>
  <si>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</si>
  <si>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</si>
  <si>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</si>
  <si>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</si>
  <si>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</si>
  <si>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</si>
  <si>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</si>
  <si>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</si>
  <si>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</si>
  <si>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</si>
  <si>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</si>
  <si>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</si>
  <si>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</si>
  <si>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</si>
  <si>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</si>
  <si>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</si>
  <si>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</si>
  <si>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</si>
  <si>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</si>
  <si>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</si>
  <si>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</si>
  <si>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</si>
  <si>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</si>
  <si>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</si>
  <si>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</si>
  <si>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</si>
  <si>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</si>
  <si>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</si>
  <si>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</si>
  <si>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</si>
  <si>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</si>
  <si>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</si>
  <si>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</si>
  <si>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</si>
  <si>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</si>
  <si>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</si>
  <si>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</si>
  <si>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</si>
  <si>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</si>
  <si>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</si>
  <si>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</si>
  <si>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</si>
  <si>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</si>
  <si>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</si>
  <si>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</si>
  <si>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</si>
  <si>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</si>
  <si>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</si>
  <si>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</si>
  <si>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</si>
  <si>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</si>
  <si>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</si>
  <si>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</si>
  <si>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</si>
  <si>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</si>
  <si>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</si>
  <si>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</si>
  <si>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</si>
  <si>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</si>
  <si>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</si>
  <si>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</si>
  <si>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</si>
  <si>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</si>
  <si>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</si>
  <si>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</si>
  <si>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</si>
  <si>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</si>
  <si>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</si>
  <si>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</si>
  <si>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</si>
  <si>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</si>
  <si>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</si>
  <si>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</si>
  <si>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</si>
  <si>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</si>
  <si>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</si>
  <si>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</si>
  <si>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</si>
  <si>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</si>
  <si>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</si>
  <si>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</si>
  <si>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</si>
  <si>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</si>
  <si>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</si>
  <si>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</si>
  <si>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</si>
  <si>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</si>
  <si>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</si>
  <si>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</si>
  <si>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</si>
  <si>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</si>
  <si>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</si>
  <si>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</si>
  <si>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</si>
  <si>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</si>
  <si>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</si>
  <si>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</si>
  <si>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</si>
  <si>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</si>
  <si>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</si>
  <si>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</si>
  <si>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</si>
  <si>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</si>
  <si>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</si>
  <si>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</si>
  <si>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</si>
  <si>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</si>
  <si>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</si>
  <si>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</si>
  <si>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</si>
  <si>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</si>
  <si>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</si>
  <si>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</si>
  <si>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</si>
  <si>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</si>
  <si>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</si>
  <si>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</si>
  <si>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</si>
  <si>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</si>
  <si>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</si>
  <si>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</si>
  <si>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</si>
  <si>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</si>
  <si>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</si>
  <si>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</si>
  <si>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</si>
  <si>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</si>
  <si>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</si>
  <si>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</si>
  <si>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</si>
  <si>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</si>
  <si>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</si>
  <si>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</si>
  <si>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</si>
  <si>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</si>
  <si>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</si>
  <si>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</si>
  <si>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</si>
  <si>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</si>
  <si>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</si>
  <si>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</si>
  <si>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</si>
  <si>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</si>
  <si>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</si>
  <si>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</si>
  <si>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</si>
  <si>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</si>
  <si>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</si>
  <si>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</si>
  <si>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</si>
  <si>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</si>
  <si>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</si>
  <si>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</si>
  <si>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</si>
  <si>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</si>
  <si>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</si>
  <si>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</si>
  <si>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</si>
  <si>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</si>
  <si>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</si>
  <si>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</si>
  <si>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</si>
  <si>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</si>
  <si>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</si>
  <si>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</si>
  <si>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</si>
  <si>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</si>
  <si>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</si>
  <si>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</si>
  <si>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</si>
  <si>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</si>
  <si>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</si>
  <si>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</si>
  <si>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</si>
  <si>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</si>
  <si>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</si>
  <si>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</si>
  <si>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</si>
  <si>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</si>
  <si>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</si>
  <si>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</si>
  <si>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</si>
  <si>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</si>
  <si>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</si>
  <si>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</si>
  <si>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</si>
  <si>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</si>
  <si>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</si>
  <si>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</si>
  <si>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</si>
  <si>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</si>
  <si>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</si>
  <si>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</si>
  <si>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</si>
  <si>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</si>
  <si>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</si>
  <si>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</si>
  <si>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</si>
  <si>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</si>
  <si>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</si>
  <si>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</si>
  <si>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</si>
  <si>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</si>
  <si>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</si>
  <si>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</si>
  <si>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</si>
  <si>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</si>
  <si>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</si>
  <si>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</si>
  <si>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</si>
  <si>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</si>
  <si>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</si>
  <si>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</si>
  <si>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</si>
  <si>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</si>
  <si>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</si>
  <si>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</si>
  <si>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</si>
  <si>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</si>
  <si>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</si>
  <si>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</si>
  <si>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</si>
  <si>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</si>
  <si>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</si>
  <si>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</si>
  <si>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</si>
  <si>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</si>
  <si>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</si>
  <si>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</si>
  <si>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</si>
  <si>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</si>
  <si>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</si>
  <si>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</si>
  <si>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</si>
  <si>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</si>
  <si>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</si>
  <si>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</si>
  <si>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</si>
  <si>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</si>
  <si>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</si>
  <si>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</si>
  <si>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</si>
  <si>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</si>
  <si>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</si>
  <si>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</si>
  <si>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</si>
  <si>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</si>
  <si>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</si>
  <si>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</si>
  <si>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</si>
  <si>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</si>
  <si>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</si>
  <si>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</si>
  <si>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</si>
  <si>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</si>
  <si>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</si>
  <si>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</si>
  <si>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</si>
  <si>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</si>
  <si>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</si>
  <si>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</si>
  <si>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</si>
  <si>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</si>
  <si>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</si>
  <si>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</si>
  <si>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</si>
  <si>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</si>
  <si>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</si>
  <si>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</si>
  <si>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</si>
  <si>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</si>
  <si>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</si>
  <si>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</si>
  <si>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</si>
  <si>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</si>
  <si>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</si>
  <si>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</si>
  <si>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</si>
  <si>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</si>
  <si>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</si>
  <si>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</si>
  <si>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</si>
  <si>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</si>
  <si>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</si>
  <si>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</si>
  <si>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</si>
  <si>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</si>
  <si>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</si>
  <si>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</si>
  <si>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</si>
  <si>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</si>
  <si>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</si>
  <si>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</si>
  <si>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</si>
  <si>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</si>
  <si>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</si>
  <si>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</si>
  <si>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</si>
  <si>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</si>
  <si>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</si>
  <si>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</si>
  <si>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</si>
  <si>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</si>
  <si>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</si>
  <si>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</si>
  <si>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</si>
  <si>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</si>
  <si>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</si>
  <si>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</si>
  <si>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</si>
  <si>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</si>
  <si>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</si>
  <si>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</si>
  <si>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</si>
  <si>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</si>
  <si>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</si>
  <si>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</si>
  <si>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</si>
  <si>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</si>
  <si>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</si>
  <si>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</si>
  <si>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</si>
  <si>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</si>
  <si>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</si>
  <si>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</si>
  <si>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</si>
  <si>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</si>
  <si>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</si>
  <si>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</si>
  <si>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</si>
  <si>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</si>
  <si>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</si>
  <si>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</si>
  <si>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</si>
  <si>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</si>
  <si>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</si>
  <si>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</si>
  <si>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</si>
  <si>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</si>
  <si>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</si>
  <si>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</si>
  <si>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</si>
  <si>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</si>
  <si>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</si>
  <si>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</si>
  <si>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</si>
  <si>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</si>
  <si>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</si>
  <si>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</si>
  <si>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</si>
  <si>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</si>
  <si>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</si>
  <si>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</si>
  <si>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</si>
  <si>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</si>
  <si>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</si>
  <si>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</si>
  <si>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</si>
  <si>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</si>
  <si>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</si>
  <si>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</si>
  <si>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</si>
  <si>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</si>
  <si>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</si>
  <si>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</si>
  <si>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</si>
  <si>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</si>
  <si>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</si>
  <si>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</si>
  <si>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</si>
  <si>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</si>
  <si>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</si>
  <si>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</si>
  <si>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</si>
  <si>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</si>
  <si>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</si>
  <si>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</si>
  <si>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</si>
  <si>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</si>
  <si>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</si>
  <si>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</si>
  <si>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</si>
  <si>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</si>
  <si>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</si>
  <si>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</si>
  <si>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</si>
  <si>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</si>
  <si>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</si>
  <si>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</si>
  <si>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</si>
  <si>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</si>
  <si>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</si>
  <si>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</si>
  <si>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</si>
  <si>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</si>
  <si>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</si>
  <si>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</si>
  <si>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</si>
  <si>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</si>
  <si>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</si>
  <si>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</si>
  <si>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</si>
  <si>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</si>
  <si>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</si>
  <si>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</si>
  <si>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</si>
  <si>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</si>
  <si>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</si>
  <si>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</si>
  <si>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</si>
  <si>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</si>
  <si>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</si>
  <si>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</si>
  <si>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</si>
  <si>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</si>
  <si>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</si>
  <si>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</si>
  <si>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</si>
  <si>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</si>
  <si>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</si>
  <si>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</si>
  <si>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</si>
  <si>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</si>
  <si>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</si>
  <si>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</si>
  <si>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</si>
  <si>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</si>
  <si>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</si>
  <si>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</si>
  <si>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</si>
  <si>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</si>
  <si>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</si>
  <si>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</si>
  <si>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</si>
  <si>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</si>
  <si>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</si>
  <si>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</si>
  <si>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</si>
  <si>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</si>
  <si>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</si>
  <si>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</si>
  <si>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</si>
  <si>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</si>
  <si>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</si>
  <si>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</si>
  <si>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</si>
  <si>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</si>
  <si>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</si>
  <si>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</si>
  <si>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</si>
  <si>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</si>
  <si>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</si>
  <si>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</si>
  <si>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</si>
  <si>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</si>
  <si>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</si>
  <si>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</si>
  <si>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</si>
  <si>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</si>
  <si>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</si>
  <si>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</si>
  <si>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</si>
  <si>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</si>
  <si>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</si>
  <si>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</si>
  <si>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</si>
  <si>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</si>
  <si>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</si>
  <si>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</si>
  <si>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</si>
  <si>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</si>
  <si>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</si>
  <si>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</si>
  <si>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</si>
  <si>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</si>
  <si>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</si>
  <si>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</si>
  <si>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</si>
  <si>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</si>
  <si>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</si>
  <si>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</si>
  <si>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</si>
  <si>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</si>
  <si>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</si>
  <si>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</si>
  <si>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</si>
  <si>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</si>
  <si>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</si>
  <si>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</si>
  <si>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</si>
  <si>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</si>
  <si>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</si>
  <si>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</si>
  <si>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</si>
  <si>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</si>
  <si>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</si>
  <si>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</si>
  <si>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</si>
  <si>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</si>
  <si>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</si>
  <si>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</si>
  <si>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</si>
  <si>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</si>
  <si>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</si>
  <si>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</si>
  <si>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</si>
  <si>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</si>
  <si>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</si>
  <si>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</si>
  <si>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</si>
  <si>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</si>
  <si>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</si>
  <si>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</si>
  <si>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</si>
  <si>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</si>
  <si>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</si>
  <si>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</si>
  <si>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</si>
  <si>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</si>
  <si>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</si>
  <si>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</si>
  <si>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</si>
  <si>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</si>
  <si>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</si>
  <si>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</si>
  <si>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</si>
  <si>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</si>
  <si>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</si>
  <si>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</si>
  <si>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</si>
  <si>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</si>
  <si>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</si>
  <si>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</si>
  <si>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</si>
  <si>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</si>
  <si>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</si>
  <si>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</si>
  <si>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</si>
  <si>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</si>
  <si>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</si>
  <si>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</si>
  <si>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</si>
  <si>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</si>
  <si>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</si>
  <si>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</si>
  <si>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</si>
  <si>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</si>
  <si>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</si>
  <si>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</si>
  <si>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</si>
  <si>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</si>
  <si>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</si>
  <si>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</si>
  <si>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</si>
  <si>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</si>
  <si>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</si>
  <si>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</si>
  <si>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</si>
  <si>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</si>
  <si>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</si>
  <si>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</si>
  <si>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</si>
  <si>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</si>
  <si>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</si>
  <si>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</si>
  <si>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</si>
  <si>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</si>
  <si>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</si>
  <si>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</si>
  <si>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</si>
  <si>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</si>
  <si>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</si>
  <si>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</si>
  <si>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</si>
  <si>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</si>
  <si>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</si>
  <si>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</si>
  <si>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</si>
  <si>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</si>
  <si>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</si>
  <si>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</si>
  <si>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</si>
  <si>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</si>
  <si>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</si>
  <si>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</si>
  <si>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</si>
  <si>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</si>
  <si>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</si>
  <si>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</si>
  <si>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</si>
  <si>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</si>
  <si>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</si>
  <si>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</si>
  <si>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</si>
  <si>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</si>
  <si>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</si>
  <si>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</si>
  <si>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</si>
  <si>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</si>
  <si>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</si>
  <si>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</si>
  <si>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</si>
  <si>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</si>
  <si>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</si>
  <si>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</si>
  <si>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</si>
  <si>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</si>
  <si>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</si>
  <si>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</si>
  <si>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</si>
  <si>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</si>
  <si>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</si>
  <si>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</si>
  <si>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</si>
  <si>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</si>
  <si>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</si>
  <si>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</si>
  <si>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</si>
  <si>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</si>
  <si>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</si>
  <si>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</si>
  <si>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</si>
  <si>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</si>
  <si>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</si>
  <si>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</si>
  <si>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</si>
  <si>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</si>
  <si>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</si>
  <si>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</si>
  <si>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</si>
  <si>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</si>
  <si>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</si>
  <si>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</si>
  <si>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</si>
  <si>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</si>
  <si>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</si>
  <si>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</si>
  <si>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</si>
  <si>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</si>
  <si>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</si>
  <si>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</si>
  <si>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</si>
  <si>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</si>
  <si>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</si>
  <si>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SOU</t>
  </si>
  <si>
    <t xml:space="preserve">Malviès</t>
  </si>
  <si>
    <t xml:space="preserve">06176670</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</si>
  <si>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</si>
  <si>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</si>
  <si>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</si>
  <si>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</si>
  <si>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</si>
  <si>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</si>
  <si>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</si>
  <si>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</si>
  <si>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</si>
  <si>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</si>
  <si>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</si>
  <si>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</si>
  <si>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</si>
  <si>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</si>
  <si>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</si>
  <si>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</si>
  <si>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</si>
  <si>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</si>
  <si>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</si>
  <si>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</si>
  <si>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</si>
  <si>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</si>
  <si>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</si>
  <si>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</si>
  <si>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</si>
  <si>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</si>
  <si>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</si>
  <si>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</si>
  <si>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</si>
  <si>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</si>
  <si>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</si>
  <si>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</si>
  <si>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</si>
  <si>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</si>
  <si>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</si>
  <si>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</si>
  <si>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</si>
  <si>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</si>
  <si>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</si>
  <si>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</si>
  <si>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</si>
  <si>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</si>
  <si>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</si>
  <si>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</si>
  <si>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</si>
  <si>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</si>
  <si>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</si>
  <si>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</si>
  <si>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</si>
  <si>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</si>
  <si>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</si>
  <si>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(52,4755 %)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</si>
  <si>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</si>
  <si>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</si>
  <si>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</si>
  <si>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</si>
  <si>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</si>
  <si>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</si>
  <si>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</si>
  <si>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</si>
  <si>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</si>
  <si>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</si>
  <si>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</si>
  <si>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</si>
  <si>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</si>
  <si>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</si>
  <si>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</si>
  <si>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</si>
  <si>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</si>
  <si>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</si>
  <si>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</si>
  <si>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Equisetum ramosissimum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</si>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</sst>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J6" activeCellId="0" sqref="J6"/>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8.71428571428571</v>
      </c>
      <c r="M5" s="323"/>
      <c r="N5" s="324" t="s">
        <v>160</v>
      </c>
      <c r="O5" s="325" t="n">
        <v>8.41176470588235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15</v>
      </c>
      <c r="C7" s="337" t="n">
        <v>85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6.28571428571429</v>
      </c>
      <c r="O8" s="354" t="n">
        <f aca="false">IF(ISERROR(AVERAGE(J23:J82)),"      -",AVERAGE(J23:J82))</f>
        <v>0.857142857142857</v>
      </c>
      <c r="P8" s="355"/>
      <c r="Q8" s="280"/>
      <c r="R8" s="280"/>
      <c r="S8" s="280"/>
      <c r="T8" s="280"/>
      <c r="U8" s="280"/>
      <c r="V8" s="280"/>
      <c r="W8" s="292"/>
      <c r="X8" s="293"/>
    </row>
    <row r="9" customFormat="false" ht="13.5" hidden="false" customHeight="false" outlineLevel="0" collapsed="false">
      <c r="A9" s="313" t="s">
        <v>2635</v>
      </c>
      <c r="B9" s="356" t="n">
        <v>67</v>
      </c>
      <c r="C9" s="357" t="n">
        <v>50</v>
      </c>
      <c r="D9" s="358"/>
      <c r="E9" s="358"/>
      <c r="F9" s="359" t="n">
        <f aca="false">($B9*$B$7+$C9*$C$7)/100</f>
        <v>52.55</v>
      </c>
      <c r="G9" s="360"/>
      <c r="H9" s="361"/>
      <c r="I9" s="362"/>
      <c r="J9" s="363"/>
      <c r="K9" s="343"/>
      <c r="L9" s="364"/>
      <c r="M9" s="353" t="s">
        <v>2636</v>
      </c>
      <c r="N9" s="354" t="n">
        <f aca="false">IF(ISERROR(STDEVP(I23:I82)),"     -",STDEVP(I23:I82))</f>
        <v>4.5423180273099</v>
      </c>
      <c r="O9" s="354" t="n">
        <f aca="false">IF(ISERROR(STDEVP(J23:J82)),"      -",STDEVP(J23:J82))</f>
        <v>0.63887656499994</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12</v>
      </c>
      <c r="O11" s="376" t="n">
        <f aca="false">MAX(J23:J82)</f>
        <v>2</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3</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3</v>
      </c>
      <c r="L13" s="386"/>
      <c r="M13" s="397" t="s">
        <v>2649</v>
      </c>
      <c r="N13" s="398" t="n">
        <f aca="false">COUNTIF(F23:F82,"&gt;0")</f>
        <v>15</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14</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8</v>
      </c>
      <c r="L15" s="386"/>
      <c r="M15" s="407" t="s">
        <v>2655</v>
      </c>
      <c r="N15" s="408" t="n">
        <f aca="false">COUNTIF(J23:J82,"=1")</f>
        <v>8</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2</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67.325</v>
      </c>
      <c r="C20" s="436" t="n">
        <f aca="false">SUM(C23:C82)</f>
        <v>49.855</v>
      </c>
      <c r="D20" s="437"/>
      <c r="E20" s="438" t="s">
        <v>2661</v>
      </c>
      <c r="F20" s="439" t="n">
        <f aca="false">($B20*$B$7+$C20*$C$7)/100</f>
        <v>52.4755</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10.09875</v>
      </c>
      <c r="C21" s="449" t="n">
        <f aca="false">C20*C7/100</f>
        <v>42.37675</v>
      </c>
      <c r="D21" s="381" t="str">
        <f aca="false">IF(F21=0,"",IF((ABS(F21-F19))&gt;(0.2*F21),CONCATENATE(" rec. par taxa (",F21," %) supérieur à 20 % !"),""))</f>
        <v> rec. par taxa (52,4755 %) supérieur à 20 % !</v>
      </c>
      <c r="E21" s="450" t="str">
        <f aca="false">IF(F21=0,"",IF((ABS(F21-F19))&gt;(0.2*F21),CONCATENATE("ATTENTION : écart entre rec. par grp (",F19," %) ","et",""),""))</f>
        <v>ATTENTION : écart entre rec. par grp (0 %) et</v>
      </c>
      <c r="F21" s="451" t="n">
        <f aca="false">B21+C21</f>
        <v>52.4755</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60</v>
      </c>
      <c r="C23" s="476" t="n">
        <v>23</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28.55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28.55</v>
      </c>
      <c r="R23" s="487" t="n">
        <f aca="false">IF(OR(ISTEXT(H23),Q23=0),"",IF(Q23&lt;0.1,1,IF(Q23&lt;1,2,IF(Q23&lt;10,3,IF(Q23&lt;50,4,IF(Q23&gt;=50,5,""))))))</f>
        <v>4</v>
      </c>
      <c r="S23" s="487" t="n">
        <f aca="false">IF(ISERROR(R23*I23),0,R23*I23)</f>
        <v>24</v>
      </c>
      <c r="T23" s="487" t="n">
        <f aca="false">IF(ISERROR(R23*I23*J23),0,R23*I23*J23)</f>
        <v>24</v>
      </c>
      <c r="U23" s="487" t="n">
        <f aca="false">IF(ISERROR(R23*J23),0,R23*J23)</f>
        <v>4</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160</v>
      </c>
      <c r="B24" s="494" t="n">
        <v>3.2</v>
      </c>
      <c r="C24" s="495" t="n">
        <v>25.5</v>
      </c>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22.155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22.155</v>
      </c>
      <c r="R24" s="487" t="n">
        <f aca="false">IF(OR(ISTEXT(H24),Q24=0),"",IF(Q24&lt;0.1,1,IF(Q24&lt;1,2,IF(Q24&lt;10,3,IF(Q24&lt;50,4,IF(Q24&gt;=50,5,""))))))</f>
        <v>4</v>
      </c>
      <c r="S24" s="487" t="n">
        <f aca="false">IF(ISERROR(R24*I24),0,R24*I24)</f>
        <v>40</v>
      </c>
      <c r="T24" s="487" t="n">
        <f aca="false">IF(ISERROR(R24*I24*J24),0,R24*I24*J24)</f>
        <v>40</v>
      </c>
      <c r="U24" s="499" t="n">
        <f aca="false">IF(ISERROR(R24*J24),0,R24*J24)</f>
        <v>4</v>
      </c>
      <c r="V24" s="488" t="str">
        <f aca="false">IF(AND(A24="",F24=0),"",IF(F24=0,"Il manque le(s) % de rec. !",""))</f>
        <v/>
      </c>
      <c r="W24" s="489"/>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2.75" hidden="false" customHeight="false" outlineLevel="0" collapsed="false">
      <c r="A25" s="493" t="s">
        <v>301</v>
      </c>
      <c r="B25" s="494" t="n">
        <v>0.005</v>
      </c>
      <c r="C25" s="495"/>
      <c r="D25" s="477" t="str">
        <f aca="false">IF(ISERROR(VLOOKUP($A25,'liste reference'!$A$7:$D$904,2,0)),IF(ISERROR(VLOOKUP($A25,'liste reference'!$B$7:$D$904,1,0)),"",VLOOKUP($A25,'liste reference'!$B$7:$D$904,1,0)),VLOOKUP($A25,'liste reference'!$A$7:$D$904,2,0))</f>
        <v>Vaucheria sp.</v>
      </c>
      <c r="E25" s="496" t="e">
        <f aca="false">IF(D25="",0,VLOOKUP(D25,D$22:D24,1,0))</f>
        <v>#N/A</v>
      </c>
      <c r="F25" s="497" t="n">
        <f aca="false">($B25*$B$7+$C25*$C$7)/100</f>
        <v>0.00075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4</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6193</v>
      </c>
      <c r="Q25" s="486" t="n">
        <f aca="false">IF(ISTEXT(H25),"",(B25*$B$7/100)+(C25*$C$7/100))</f>
        <v>0.00075</v>
      </c>
      <c r="R25" s="487" t="n">
        <f aca="false">IF(OR(ISTEXT(H25),Q25=0),"",IF(Q25&lt;0.1,1,IF(Q25&lt;1,2,IF(Q25&lt;10,3,IF(Q25&lt;50,4,IF(Q25&gt;=50,5,""))))))</f>
        <v>1</v>
      </c>
      <c r="S25" s="487" t="n">
        <f aca="false">IF(ISERROR(R25*I25),0,R25*I25)</f>
        <v>4</v>
      </c>
      <c r="T25" s="487" t="n">
        <f aca="false">IF(ISERROR(R25*I25*J25),0,R25*I25*J25)</f>
        <v>4</v>
      </c>
      <c r="U25" s="499" t="n">
        <f aca="false">IF(ISERROR(R25*J25),0,R25*J25)</f>
        <v>1</v>
      </c>
      <c r="V25" s="488" t="str">
        <f aca="false">IF(AND(A25="",F25=0),"",IF(F25=0,"Il manque le(s) % de rec. !",""))</f>
        <v/>
      </c>
      <c r="W25" s="489"/>
      <c r="Y25" s="490" t="str">
        <f aca="false">IF(A25="new.cod","NEWCOD",IF(AND((Z25=""),ISTEXT(A25)),A25,IF(Z25="","",INDEX('liste reference'!$A$8:$A$904,Z25))))</f>
        <v>VAUSPX</v>
      </c>
      <c r="Z25" s="280" t="n">
        <f aca="false">IF(ISERROR(MATCH(A25,'liste reference'!$A$8:$A$904,0)),IF(ISERROR(MATCH(A25,'liste reference'!$B$8:$B$904,0)),"",(MATCH(A25,'liste reference'!$B$8:$B$904,0))),(MATCH(A25,'liste reference'!$A$8:$A$904,0)))</f>
        <v>82</v>
      </c>
      <c r="AA25" s="491"/>
      <c r="AB25" s="492"/>
      <c r="AC25" s="492"/>
      <c r="BB25" s="280" t="n">
        <f aca="false">IF(A25="","",1)</f>
        <v>1</v>
      </c>
    </row>
    <row r="26" customFormat="false" ht="12.75" hidden="false" customHeight="false" outlineLevel="0" collapsed="false">
      <c r="A26" s="493" t="s">
        <v>512</v>
      </c>
      <c r="B26" s="494"/>
      <c r="C26" s="495" t="n">
        <v>0.005</v>
      </c>
      <c r="D26" s="477" t="str">
        <f aca="false">IF(ISERROR(VLOOKUP($A26,'liste reference'!$A$7:$D$904,2,0)),IF(ISERROR(VLOOKUP($A26,'liste reference'!$B$7:$D$904,1,0)),"",VLOOKUP($A26,'liste reference'!$B$7:$D$904,1,0)),VLOOKUP($A26,'liste reference'!$A$7:$D$904,2,0))</f>
        <v>Pellia endiviifolia</v>
      </c>
      <c r="E26" s="496" t="e">
        <f aca="false">IF(D26="",0,VLOOKUP(D26,D$22:D25,1,0))</f>
        <v>#N/A</v>
      </c>
      <c r="F26" s="497" t="n">
        <f aca="false">($B26*$B$7+$C26*$C$7)/100</f>
        <v>0.00425</v>
      </c>
      <c r="G26" s="479" t="str">
        <f aca="false">IF(A26="","",IF(ISERROR(VLOOKUP($A26,'liste reference'!$A$7:$P$904,13,0)),IF(ISERROR(VLOOKUP($A26,'liste reference'!$B$7:$P$904,12,0)),"    -",VLOOKUP($A26,'liste reference'!$B$7:$P$904,12,0)),VLOOKUP($A26,'liste reference'!$A$7:$P$904,13,0)))</f>
        <v>BRh</v>
      </c>
      <c r="H26" s="480" t="n">
        <f aca="false">IF(A26="","x",IF(ISERROR(VLOOKUP($A26,'liste reference'!$A$8:$P$904,14,0)),IF(ISERROR(VLOOKUP($A26,'liste reference'!$B$8:$P$904,13,0)),"x",VLOOKUP($A26,'liste reference'!$B$8:$P$904,13,0)),VLOOKUP($A26,'liste reference'!$A$8:$P$904,14,0)))</f>
        <v>4</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1197</v>
      </c>
      <c r="Q26" s="486" t="n">
        <f aca="false">IF(ISTEXT(H26),"",(B26*$B$7/100)+(C26*$C$7/100))</f>
        <v>0.00425</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PELEND</v>
      </c>
      <c r="Z26" s="280" t="n">
        <f aca="false">IF(ISERROR(MATCH(A26,'liste reference'!$A$8:$A$904,0)),IF(ISERROR(MATCH(A26,'liste reference'!$B$8:$B$904,0)),"",(MATCH(A26,'liste reference'!$B$8:$B$904,0))),(MATCH(A26,'liste reference'!$A$8:$A$904,0)))</f>
        <v>120</v>
      </c>
      <c r="AA26" s="491"/>
      <c r="AB26" s="492"/>
      <c r="AC26" s="492"/>
      <c r="BB26" s="280" t="n">
        <f aca="false">IF(A26="","",1)</f>
        <v>1</v>
      </c>
    </row>
    <row r="27" customFormat="false" ht="12.75" hidden="false" customHeight="false" outlineLevel="0" collapsed="false">
      <c r="A27" s="493" t="s">
        <v>645</v>
      </c>
      <c r="B27" s="494" t="n">
        <v>0.1</v>
      </c>
      <c r="C27" s="495" t="n">
        <v>0.05</v>
      </c>
      <c r="D27" s="477" t="str">
        <f aca="false">IF(ISERROR(VLOOKUP($A27,'liste reference'!$A$7:$D$904,2,0)),IF(ISERROR(VLOOKUP($A27,'liste reference'!$B$7:$D$904,1,0)),"",VLOOKUP($A27,'liste reference'!$B$7:$D$904,1,0)),VLOOKUP($A27,'liste reference'!$A$7:$D$904,2,0))</f>
        <v>Amblystegium riparium</v>
      </c>
      <c r="E27" s="496" t="e">
        <f aca="false">IF(D27="",0,VLOOKUP(D27,D$22:D26,1,0))</f>
        <v>#N/A</v>
      </c>
      <c r="F27" s="497" t="n">
        <f aca="false">($B27*$B$7+$C27*$C$7)/100</f>
        <v>0.0575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1219</v>
      </c>
      <c r="Q27" s="486" t="n">
        <f aca="false">IF(ISTEXT(H27),"",(B27*$B$7/100)+(C27*$C$7/100))</f>
        <v>0.0575</v>
      </c>
      <c r="R27" s="487" t="n">
        <f aca="false">IF(OR(ISTEXT(H27),Q27=0),"",IF(Q27&lt;0.1,1,IF(Q27&lt;1,2,IF(Q27&lt;10,3,IF(Q27&lt;50,4,IF(Q27&gt;=50,5,""))))))</f>
        <v>1</v>
      </c>
      <c r="S27" s="487" t="n">
        <f aca="false">IF(ISERROR(R27*I27),0,R27*I27)</f>
        <v>5</v>
      </c>
      <c r="T27" s="487" t="n">
        <f aca="false">IF(ISERROR(R27*I27*J27),0,R27*I27*J27)</f>
        <v>10</v>
      </c>
      <c r="U27" s="499" t="n">
        <f aca="false">IF(ISERROR(R27*J27),0,R27*J27)</f>
        <v>2</v>
      </c>
      <c r="V27" s="488" t="str">
        <f aca="false">IF(AND(A27="",F27=0),"",IF(F27=0,"Il manque le(s) % de rec. !",""))</f>
        <v/>
      </c>
      <c r="W27" s="489"/>
      <c r="Y27" s="490" t="str">
        <f aca="false">IF(A27="new.cod","NEWCOD",IF(AND((Z27=""),ISTEXT(A27)),A27,IF(Z27="","",INDEX('liste reference'!$A$8:$A$904,Z27))))</f>
        <v>AMBRIP</v>
      </c>
      <c r="Z27" s="280" t="n">
        <f aca="false">IF(ISERROR(MATCH(A27,'liste reference'!$A$8:$A$904,0)),IF(ISERROR(MATCH(A27,'liste reference'!$B$8:$B$904,0)),"",(MATCH(A27,'liste reference'!$B$8:$B$904,0))),(MATCH(A27,'liste reference'!$A$8:$A$904,0)))</f>
        <v>148</v>
      </c>
      <c r="AA27" s="491"/>
      <c r="AB27" s="492"/>
      <c r="AC27" s="492"/>
      <c r="BB27" s="280" t="n">
        <f aca="false">IF(A27="","",1)</f>
        <v>1</v>
      </c>
    </row>
    <row r="28" customFormat="false" ht="12.75" hidden="false" customHeight="false" outlineLevel="0" collapsed="false">
      <c r="A28" s="493" t="s">
        <v>852</v>
      </c>
      <c r="B28" s="494" t="n">
        <v>0.005</v>
      </c>
      <c r="C28" s="495" t="n">
        <v>0.02</v>
      </c>
      <c r="D28" s="477" t="str">
        <f aca="false">IF(ISERROR(VLOOKUP($A28,'liste reference'!$A$7:$D$904,2,0)),IF(ISERROR(VLOOKUP($A28,'liste reference'!$B$7:$D$904,1,0)),"",VLOOKUP($A28,'liste reference'!$B$7:$D$904,1,0)),VLOOKUP($A28,'liste reference'!$A$7:$D$904,2,0))</f>
        <v>Fissidens crassipes</v>
      </c>
      <c r="E28" s="496" t="e">
        <f aca="false">IF(D28="",0,VLOOKUP(D28,D$22:D27,1,0))</f>
        <v>#N/A</v>
      </c>
      <c r="F28" s="497" t="n">
        <f aca="false">($B28*$B$7+$C28*$C$7)/100</f>
        <v>0.01775</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12</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1294</v>
      </c>
      <c r="Q28" s="486" t="n">
        <f aca="false">IF(ISTEXT(H28),"",(B28*$B$7/100)+(C28*$C$7/100))</f>
        <v>0.01775</v>
      </c>
      <c r="R28" s="487" t="n">
        <f aca="false">IF(OR(ISTEXT(H28),Q28=0),"",IF(Q28&lt;0.1,1,IF(Q28&lt;1,2,IF(Q28&lt;10,3,IF(Q28&lt;50,4,IF(Q28&gt;=50,5,""))))))</f>
        <v>1</v>
      </c>
      <c r="S28" s="487" t="n">
        <f aca="false">IF(ISERROR(R28*I28),0,R28*I28)</f>
        <v>12</v>
      </c>
      <c r="T28" s="487" t="n">
        <f aca="false">IF(ISERROR(R28*I28*J28),0,R28*I28*J28)</f>
        <v>24</v>
      </c>
      <c r="U28" s="499" t="n">
        <f aca="false">IF(ISERROR(R28*J28),0,R28*J28)</f>
        <v>2</v>
      </c>
      <c r="V28" s="488" t="str">
        <f aca="false">IF(AND(A28="",F28=0),"",IF(F28=0,"Il manque le(s) % de rec. !",""))</f>
        <v/>
      </c>
      <c r="W28" s="489"/>
      <c r="Y28" s="490" t="str">
        <f aca="false">IF(A28="new.cod","NEWCOD",IF(AND((Z28=""),ISTEXT(A28)),A28,IF(Z28="","",INDEX('liste reference'!$A$8:$A$904,Z28))))</f>
        <v>FISCRA</v>
      </c>
      <c r="Z28" s="280" t="n">
        <f aca="false">IF(ISERROR(MATCH(A28,'liste reference'!$A$8:$A$904,0)),IF(ISERROR(MATCH(A28,'liste reference'!$B$8:$B$904,0)),"",(MATCH(A28,'liste reference'!$B$8:$B$904,0))),(MATCH(A28,'liste reference'!$A$8:$A$904,0)))</f>
        <v>197</v>
      </c>
      <c r="AA28" s="491"/>
      <c r="AB28" s="492"/>
      <c r="AC28" s="492"/>
      <c r="BB28" s="280" t="n">
        <f aca="false">IF(A28="","",1)</f>
        <v>1</v>
      </c>
    </row>
    <row r="29" customFormat="false" ht="12.75" hidden="false" customHeight="false" outlineLevel="0" collapsed="false">
      <c r="A29" s="493" t="s">
        <v>1224</v>
      </c>
      <c r="B29" s="494" t="n">
        <v>0.1</v>
      </c>
      <c r="C29" s="495" t="n">
        <v>0.005</v>
      </c>
      <c r="D29" s="477" t="str">
        <f aca="false">IF(ISERROR(VLOOKUP($A29,'liste reference'!$A$7:$D$904,2,0)),IF(ISERROR(VLOOKUP($A29,'liste reference'!$B$7:$D$904,1,0)),"",VLOOKUP($A29,'liste reference'!$B$7:$D$904,1,0)),VLOOKUP($A29,'liste reference'!$A$7:$D$904,2,0))</f>
        <v>Apium nodiflorum</v>
      </c>
      <c r="E29" s="496" t="e">
        <f aca="false">IF(D29="",0,VLOOKUP(D29,D$22:D28,1,0))</f>
        <v>#N/A</v>
      </c>
      <c r="F29" s="497" t="n">
        <f aca="false">($B29*$B$7+$C29*$C$7)/100</f>
        <v>0.01925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Apium nodiflorum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1974</v>
      </c>
      <c r="Q29" s="486" t="n">
        <f aca="false">IF(ISTEXT(H29),"",(B29*$B$7/100)+(C29*$C$7/100))</f>
        <v>0.01925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APINOD</v>
      </c>
      <c r="Z29" s="280" t="n">
        <f aca="false">IF(ISERROR(MATCH(A29,'liste reference'!$A$8:$A$904,0)),IF(ISERROR(MATCH(A29,'liste reference'!$B$8:$B$904,0)),"",(MATCH(A29,'liste reference'!$B$8:$B$904,0))),(MATCH(A29,'liste reference'!$A$8:$A$904,0)))</f>
        <v>309</v>
      </c>
      <c r="AA29" s="491"/>
      <c r="AB29" s="492"/>
      <c r="AC29" s="492"/>
      <c r="BB29" s="280" t="n">
        <f aca="false">IF(A29="","",1)</f>
        <v>1</v>
      </c>
    </row>
    <row r="30" customFormat="false" ht="12.75" hidden="false" customHeight="false" outlineLevel="0" collapsed="false">
      <c r="A30" s="493" t="s">
        <v>1337</v>
      </c>
      <c r="B30" s="494" t="n">
        <v>0.005</v>
      </c>
      <c r="C30" s="495" t="n">
        <v>0.005</v>
      </c>
      <c r="D30" s="477" t="str">
        <f aca="false">IF(ISERROR(VLOOKUP($A30,'liste reference'!$A$7:$D$904,2,0)),IF(ISERROR(VLOOKUP($A30,'liste reference'!$B$7:$D$904,1,0)),"",VLOOKUP($A30,'liste reference'!$B$7:$D$904,1,0)),VLOOKUP($A30,'liste reference'!$A$7:$D$904,2,0))</f>
        <v>Lemna minor</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Lemna minor</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1626</v>
      </c>
      <c r="Q30" s="486" t="n">
        <f aca="false">IF(ISTEXT(H30),"",(B30*$B$7/100)+(C30*$C$7/100))</f>
        <v>0.005</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LEMMIN</v>
      </c>
      <c r="Z30" s="280" t="n">
        <f aca="false">IF(ISERROR(MATCH(A30,'liste reference'!$A$8:$A$904,0)),IF(ISERROR(MATCH(A30,'liste reference'!$B$8:$B$904,0)),"",(MATCH(A30,'liste reference'!$B$8:$B$904,0))),(MATCH(A30,'liste reference'!$A$8:$A$904,0)))</f>
        <v>357</v>
      </c>
      <c r="AA30" s="491"/>
      <c r="AB30" s="492"/>
      <c r="AC30" s="492"/>
      <c r="BB30" s="280" t="n">
        <f aca="false">IF(A30="","",1)</f>
        <v>1</v>
      </c>
    </row>
    <row r="31" customFormat="false" ht="12.75" hidden="false" customHeight="false" outlineLevel="0" collapsed="false">
      <c r="A31" s="493" t="s">
        <v>1708</v>
      </c>
      <c r="B31" s="494" t="n">
        <v>0.3</v>
      </c>
      <c r="C31" s="495" t="n">
        <v>0.15</v>
      </c>
      <c r="D31" s="477" t="str">
        <f aca="false">IF(ISERROR(VLOOKUP($A31,'liste reference'!$A$7:$D$904,2,0)),IF(ISERROR(VLOOKUP($A31,'liste reference'!$B$7:$D$904,1,0)),"",VLOOKUP($A31,'liste reference'!$B$7:$D$904,1,0)),VLOOKUP($A31,'liste reference'!$A$7:$D$904,2,0))</f>
        <v>Agrostis stolonifera</v>
      </c>
      <c r="E31" s="496" t="e">
        <f aca="false">IF(D31="",0,VLOOKUP(D31,D$22:D30,1,0))</f>
        <v>#N/A</v>
      </c>
      <c r="F31" s="497" t="n">
        <f aca="false">($B31*$B$7+$C31*$C$7)/100</f>
        <v>0.1725</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Agrostis stolonifera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1543</v>
      </c>
      <c r="Q31" s="486" t="n">
        <f aca="false">IF(ISTEXT(H31),"",(B31*$B$7/100)+(C31*$C$7/100))</f>
        <v>0.1725</v>
      </c>
      <c r="R31" s="487" t="n">
        <f aca="false">IF(OR(ISTEXT(H31),Q31=0),"",IF(Q31&lt;0.1,1,IF(Q31&lt;1,2,IF(Q31&lt;10,3,IF(Q31&lt;50,4,IF(Q31&gt;=50,5,""))))))</f>
        <v>2</v>
      </c>
      <c r="S31" s="487" t="n">
        <f aca="false">IF(ISERROR(R31*I31),0,R31*I31)</f>
        <v>20</v>
      </c>
      <c r="T31" s="487" t="n">
        <f aca="false">IF(ISERROR(R31*I31*J31),0,R31*I31*J31)</f>
        <v>20</v>
      </c>
      <c r="U31" s="499" t="n">
        <f aca="false">IF(ISERROR(R31*J31),0,R31*J31)</f>
        <v>2</v>
      </c>
      <c r="V31" s="488" t="str">
        <f aca="false">IF(AND(A31="",F31=0),"",IF(F31=0,"Il manque le(s) % de rec. !",""))</f>
        <v/>
      </c>
      <c r="W31" s="489"/>
      <c r="Y31" s="490" t="str">
        <f aca="false">IF(A31="new.cod","NEWCOD",IF(AND((Z31=""),ISTEXT(A31)),A31,IF(Z31="","",INDEX('liste reference'!$A$8:$A$904,Z31))))</f>
        <v>AGRSTO</v>
      </c>
      <c r="Z31" s="280" t="n">
        <f aca="false">IF(ISERROR(MATCH(A31,'liste reference'!$A$8:$A$904,0)),IF(ISERROR(MATCH(A31,'liste reference'!$B$8:$B$904,0)),"",(MATCH(A31,'liste reference'!$B$8:$B$904,0))),(MATCH(A31,'liste reference'!$A$8:$A$904,0)))</f>
        <v>514</v>
      </c>
      <c r="AA31" s="491"/>
      <c r="AB31" s="492"/>
      <c r="AC31" s="492"/>
      <c r="BB31" s="280" t="n">
        <f aca="false">IF(A31="","",1)</f>
        <v>1</v>
      </c>
    </row>
    <row r="32" customFormat="false" ht="12.75" hidden="false" customHeight="false" outlineLevel="0" collapsed="false">
      <c r="A32" s="493" t="s">
        <v>1782</v>
      </c>
      <c r="B32" s="494" t="n">
        <v>0.1</v>
      </c>
      <c r="C32" s="495" t="n">
        <v>0.1</v>
      </c>
      <c r="D32" s="477" t="str">
        <f aca="false">IF(ISERROR(VLOOKUP($A32,'liste reference'!$A$7:$D$904,2,0)),IF(ISERROR(VLOOKUP($A32,'liste reference'!$B$7:$D$904,1,0)),"",VLOOKUP($A32,'liste reference'!$B$7:$D$904,1,0)),VLOOKUP($A32,'liste reference'!$A$7:$D$904,2,0))</f>
        <v>Carex pendula</v>
      </c>
      <c r="E32" s="496" t="e">
        <f aca="false">IF(D32="",0,VLOOKUP(D32,D$22:D31,1,0))</f>
        <v>#N/A</v>
      </c>
      <c r="F32" s="497" t="n">
        <f aca="false">($B32*$B$7+$C32*$C$7)/100</f>
        <v>0.1</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Carex pendula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1485</v>
      </c>
      <c r="Q32" s="486" t="n">
        <f aca="false">IF(ISTEXT(H32),"",(B32*$B$7/100)+(C32*$C$7/100))</f>
        <v>0.1</v>
      </c>
      <c r="R32" s="487" t="n">
        <f aca="false">IF(OR(ISTEXT(H32),Q32=0),"",IF(Q32&lt;0.1,1,IF(Q32&lt;1,2,IF(Q32&lt;10,3,IF(Q32&lt;50,4,IF(Q32&gt;=50,5,""))))))</f>
        <v>2</v>
      </c>
      <c r="S32" s="487" t="n">
        <f aca="false">IF(ISERROR(R32*I32),0,R32*I32)</f>
        <v>0</v>
      </c>
      <c r="T32" s="487" t="n">
        <f aca="false">IF(ISERROR(R32*I32*J32),0,R32*I32*J32)</f>
        <v>0</v>
      </c>
      <c r="U32" s="499" t="n">
        <f aca="false">IF(ISERROR(R32*J32),0,R32*J32)</f>
        <v>0</v>
      </c>
      <c r="V32" s="488" t="str">
        <f aca="false">IF(AND(A32="",F32=0),"",IF(F32=0,"Il manque le(s) % de rec. !",""))</f>
        <v/>
      </c>
      <c r="W32" s="489"/>
      <c r="X32" s="489"/>
      <c r="Y32" s="490" t="str">
        <f aca="false">IF(A32="new.cod","NEWCOD",IF(AND((Z32=""),ISTEXT(A32)),A32,IF(Z32="","",INDEX('liste reference'!$A$8:$A$904,Z32))))</f>
        <v>CARPEN</v>
      </c>
      <c r="Z32" s="280" t="n">
        <f aca="false">IF(ISERROR(MATCH(A32,'liste reference'!$A$8:$A$904,0)),IF(ISERROR(MATCH(A32,'liste reference'!$B$8:$B$904,0)),"",(MATCH(A32,'liste reference'!$B$8:$B$904,0))),(MATCH(A32,'liste reference'!$A$8:$A$904,0)))</f>
        <v>541</v>
      </c>
      <c r="AA32" s="491"/>
      <c r="AB32" s="492"/>
      <c r="AC32" s="492"/>
      <c r="BB32" s="280" t="n">
        <f aca="false">IF(A32="","",1)</f>
        <v>1</v>
      </c>
    </row>
    <row r="33" customFormat="false" ht="12.75" hidden="false" customHeight="false" outlineLevel="0" collapsed="false">
      <c r="A33" s="493" t="s">
        <v>1932</v>
      </c>
      <c r="B33" s="494"/>
      <c r="C33" s="495" t="n">
        <v>0.005</v>
      </c>
      <c r="D33" s="477" t="str">
        <f aca="false">IF(ISERROR(VLOOKUP($A33,'liste reference'!$A$7:$D$904,2,0)),IF(ISERROR(VLOOKUP($A33,'liste reference'!$B$7:$D$904,1,0)),"",VLOOKUP($A33,'liste reference'!$B$7:$D$904,1,0)),VLOOKUP($A33,'liste reference'!$A$7:$D$904,2,0))</f>
        <v>Lythrum salicaria</v>
      </c>
      <c r="E33" s="496" t="e">
        <f aca="false">IF(D33="",0,VLOOKUP(D33,D$22:D32,1,0))</f>
        <v>#N/A</v>
      </c>
      <c r="F33" s="497" t="n">
        <f aca="false">($B33*$B$7+$C33*$C$7)/100</f>
        <v>0.00425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Lythrum salicaria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1823</v>
      </c>
      <c r="Q33" s="486" t="n">
        <f aca="false">IF(ISTEXT(H33),"",(B33*$B$7/100)+(C33*$C$7/100))</f>
        <v>0.00425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LYTSAL</v>
      </c>
      <c r="Z33" s="280" t="n">
        <f aca="false">IF(ISERROR(MATCH(A33,'liste reference'!$A$8:$A$904,0)),IF(ISERROR(MATCH(A33,'liste reference'!$B$8:$B$904,0)),"",(MATCH(A33,'liste reference'!$B$8:$B$904,0))),(MATCH(A33,'liste reference'!$A$8:$A$904,0)))</f>
        <v>605</v>
      </c>
      <c r="AA33" s="491"/>
      <c r="AB33" s="492"/>
      <c r="AC33" s="492"/>
      <c r="BB33" s="280" t="n">
        <f aca="false">IF(A33="","",1)</f>
        <v>1</v>
      </c>
    </row>
    <row r="34" customFormat="false" ht="12.75" hidden="false" customHeight="false" outlineLevel="0" collapsed="false">
      <c r="A34" s="493" t="s">
        <v>1984</v>
      </c>
      <c r="B34" s="494" t="n">
        <v>0.005</v>
      </c>
      <c r="C34" s="495" t="n">
        <v>0.005</v>
      </c>
      <c r="D34" s="477" t="str">
        <f aca="false">IF(ISERROR(VLOOKUP($A34,'liste reference'!$A$7:$D$904,2,0)),IF(ISERROR(VLOOKUP($A34,'liste reference'!$B$7:$D$904,1,0)),"",VLOOKUP($A34,'liste reference'!$B$7:$D$904,1,0)),VLOOKUP($A34,'liste reference'!$A$7:$D$904,2,0))</f>
        <v>Nasturtium officinale</v>
      </c>
      <c r="E34" s="496" t="e">
        <f aca="false">IF(D34="",0,VLOOKUP(D34,D$22:D33,1,0))</f>
        <v>#N/A</v>
      </c>
      <c r="F34" s="500" t="n">
        <f aca="false">($B34*$B$7+$C34*$C$7)/100</f>
        <v>0.005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11</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Nasturtium officinale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1763</v>
      </c>
      <c r="Q34" s="486" t="n">
        <f aca="false">IF(ISTEXT(H34),"",(B34*$B$7/100)+(C34*$C$7/100))</f>
        <v>0.005</v>
      </c>
      <c r="R34" s="487" t="n">
        <f aca="false">IF(OR(ISTEXT(H34),Q34=0),"",IF(Q34&lt;0.1,1,IF(Q34&lt;1,2,IF(Q34&lt;10,3,IF(Q34&lt;50,4,IF(Q34&gt;=50,5,""))))))</f>
        <v>1</v>
      </c>
      <c r="S34" s="487" t="n">
        <f aca="false">IF(ISERROR(R34*I34),0,R34*I34)</f>
        <v>11</v>
      </c>
      <c r="T34" s="487" t="n">
        <f aca="false">IF(ISERROR(R34*I34*J34),0,R34*I34*J34)</f>
        <v>11</v>
      </c>
      <c r="U34" s="499" t="n">
        <f aca="false">IF(ISERROR(R34*J34),0,R34*J34)</f>
        <v>1</v>
      </c>
      <c r="V34" s="488" t="str">
        <f aca="false">IF(AND(A34="",F34=0),"",IF(F34=0,"Il manque le(s) % de rec. !",""))</f>
        <v/>
      </c>
      <c r="W34" s="489"/>
      <c r="Y34" s="490" t="str">
        <f aca="false">IF(A34="new.cod","NEWCOD",IF(AND((Z34=""),ISTEXT(A34)),A34,IF(Z34="","",INDEX('liste reference'!$A$8:$A$904,Z34))))</f>
        <v>NASOFF</v>
      </c>
      <c r="Z34" s="280" t="n">
        <f aca="false">IF(ISERROR(MATCH(A34,'liste reference'!$A$8:$A$904,0)),IF(ISERROR(MATCH(A34,'liste reference'!$B$8:$B$904,0)),"",(MATCH(A34,'liste reference'!$B$8:$B$904,0))),(MATCH(A34,'liste reference'!$A$8:$A$904,0)))</f>
        <v>628</v>
      </c>
      <c r="AA34" s="491"/>
      <c r="AB34" s="492"/>
      <c r="AC34" s="492"/>
      <c r="BB34" s="280" t="n">
        <f aca="false">IF(A34="","",1)</f>
        <v>1</v>
      </c>
    </row>
    <row r="35" customFormat="false" ht="12.75" hidden="false" customHeight="false" outlineLevel="0" collapsed="false">
      <c r="A35" s="493" t="s">
        <v>2000</v>
      </c>
      <c r="B35" s="494" t="n">
        <v>3.5</v>
      </c>
      <c r="C35" s="495" t="n">
        <v>1</v>
      </c>
      <c r="D35" s="477" t="str">
        <f aca="false">IF(ISERROR(VLOOKUP($A35,'liste reference'!$A$7:$D$904,2,0)),IF(ISERROR(VLOOKUP($A35,'liste reference'!$B$7:$D$904,1,0)),"",VLOOKUP($A35,'liste reference'!$B$7:$D$904,1,0)),VLOOKUP($A35,'liste reference'!$A$7:$D$904,2,0))</f>
        <v>Phalaris arundinacea</v>
      </c>
      <c r="E35" s="496" t="e">
        <f aca="false">IF(D35="",0,VLOOKUP(D35,D$22:D34,1,0))</f>
        <v>#N/A</v>
      </c>
      <c r="F35" s="500" t="n">
        <f aca="false">($B35*$B$7+$C35*$C$7)/100</f>
        <v>1.375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Phalaris arundinacea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1577</v>
      </c>
      <c r="Q35" s="486" t="n">
        <f aca="false">IF(ISTEXT(H35),"",(B35*$B$7/100)+(C35*$C$7/100))</f>
        <v>1.375</v>
      </c>
      <c r="R35" s="487" t="n">
        <f aca="false">IF(OR(ISTEXT(H35),Q35=0),"",IF(Q35&lt;0.1,1,IF(Q35&lt;1,2,IF(Q35&lt;10,3,IF(Q35&lt;50,4,IF(Q35&gt;=50,5,""))))))</f>
        <v>3</v>
      </c>
      <c r="S35" s="487" t="n">
        <f aca="false">IF(ISERROR(R35*I35),0,R35*I35)</f>
        <v>30</v>
      </c>
      <c r="T35" s="487" t="n">
        <f aca="false">IF(ISERROR(R35*I35*J35),0,R35*I35*J35)</f>
        <v>30</v>
      </c>
      <c r="U35" s="499" t="n">
        <f aca="false">IF(ISERROR(R35*J35),0,R35*J35)</f>
        <v>3</v>
      </c>
      <c r="V35" s="488" t="str">
        <f aca="false">IF(AND(A35="",F35=0),"",IF(F35=0,"Il manque le(s) % de rec. !",""))</f>
        <v/>
      </c>
      <c r="W35" s="501"/>
      <c r="Y35" s="490" t="str">
        <f aca="false">IF(A35="new.cod","NEWCOD",IF(AND((Z35=""),ISTEXT(A35)),A35,IF(Z35="","",INDEX('liste reference'!$A$8:$A$904,Z35))))</f>
        <v>PHAARU</v>
      </c>
      <c r="Z35" s="280" t="n">
        <f aca="false">IF(ISERROR(MATCH(A35,'liste reference'!$A$8:$A$904,0)),IF(ISERROR(MATCH(A35,'liste reference'!$B$8:$B$904,0)),"",(MATCH(A35,'liste reference'!$B$8:$B$904,0))),(MATCH(A35,'liste reference'!$A$8:$A$904,0)))</f>
        <v>634</v>
      </c>
      <c r="AA35" s="491"/>
      <c r="AB35" s="492"/>
      <c r="AC35" s="492"/>
      <c r="BB35" s="280" t="n">
        <f aca="false">IF(A35="","",1)</f>
        <v>1</v>
      </c>
    </row>
    <row r="36" customFormat="false" ht="12.75" hidden="false" customHeight="false" outlineLevel="0" collapsed="false">
      <c r="A36" s="493" t="s">
        <v>2167</v>
      </c>
      <c r="B36" s="494" t="n">
        <v>0.005</v>
      </c>
      <c r="C36" s="495" t="n">
        <v>0.005</v>
      </c>
      <c r="D36" s="477" t="str">
        <f aca="false">IF(ISERROR(VLOOKUP($A36,'liste reference'!$A$7:$D$904,2,0)),IF(ISERROR(VLOOKUP($A36,'liste reference'!$B$7:$D$904,1,0)),"",VLOOKUP($A36,'liste reference'!$B$7:$D$904,1,0)),VLOOKUP($A36,'liste reference'!$A$7:$D$904,2,0))</f>
        <v>Calystegia sepium</v>
      </c>
      <c r="E36" s="496" t="e">
        <f aca="false">IF(D36="",0,VLOOKUP(D36,D$22:D35,1,0))</f>
        <v>#N/A</v>
      </c>
      <c r="F36" s="500" t="n">
        <f aca="false">($B36*$B$7+$C36*$C$7)/100</f>
        <v>0.005</v>
      </c>
      <c r="G36" s="479" t="str">
        <f aca="false">IF(A36="","",IF(ISERROR(VLOOKUP($A36,'liste reference'!$A$7:$P$904,13,0)),IF(ISERROR(VLOOKUP($A36,'liste reference'!$B$7:$P$904,12,0)),"    -",VLOOKUP($A36,'liste reference'!$B$7:$P$904,12,0)),VLOOKUP($A36,'liste reference'!$A$7:$P$904,13,0)))</f>
        <v>PHg</v>
      </c>
      <c r="H36" s="480" t="n">
        <f aca="false">IF(A36="","x",IF(ISERROR(VLOOKUP($A36,'liste reference'!$A$8:$P$904,14,0)),IF(ISERROR(VLOOKUP($A36,'liste reference'!$B$8:$P$904,13,0)),"x",VLOOKUP($A36,'liste reference'!$B$8:$P$904,13,0)),VLOOKUP($A36,'liste reference'!$A$8:$P$904,14,0)))</f>
        <v>9</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Calystegia sepium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1731</v>
      </c>
      <c r="Q36" s="486" t="n">
        <f aca="false">IF(ISTEXT(H36),"",(B36*$B$7/100)+(C36*$C$7/100))</f>
        <v>0.005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CASSEP</v>
      </c>
      <c r="Z36" s="280" t="n">
        <f aca="false">IF(ISERROR(MATCH(A36,'liste reference'!$A$8:$A$904,0)),IF(ISERROR(MATCH(A36,'liste reference'!$B$8:$B$904,0)),"",(MATCH(A36,'liste reference'!$B$8:$B$904,0))),(MATCH(A36,'liste reference'!$A$8:$A$904,0)))</f>
        <v>706</v>
      </c>
      <c r="AA36" s="491"/>
      <c r="AB36" s="492"/>
      <c r="AC36" s="492"/>
      <c r="BB36" s="280" t="n">
        <f aca="false">IF(A36="","",1)</f>
        <v>1</v>
      </c>
    </row>
    <row r="37" customFormat="false" ht="12.75" hidden="false" customHeight="false" outlineLevel="0" collapsed="false">
      <c r="A37" s="493" t="s">
        <v>2686</v>
      </c>
      <c r="B37" s="494"/>
      <c r="C37" s="495" t="n">
        <v>0.005</v>
      </c>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0.00425</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ramosissimum</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2687</v>
      </c>
      <c r="AC37" s="492"/>
      <c r="BB37" s="280" t="n">
        <f aca="false">IF(A37="","",1)</f>
        <v>1</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SOU</v>
      </c>
      <c r="B84" s="529" t="str">
        <f aca="false">C3</f>
        <v>Malviès</v>
      </c>
      <c r="C84" s="530" t="n">
        <f aca="false">A4</f>
        <v>41492</v>
      </c>
      <c r="D84" s="531" t="n">
        <f aca="false">IF(ISERROR(SUM($T$23:$T$82)/SUM($U$23:$U$82)),"",SUM($T$23:$T$82)/SUM($U$23:$U$82))</f>
        <v>8.71428571428571</v>
      </c>
      <c r="E84" s="532" t="n">
        <f aca="false">N13</f>
        <v>15</v>
      </c>
      <c r="F84" s="529" t="n">
        <f aca="false">N14</f>
        <v>14</v>
      </c>
      <c r="G84" s="529" t="n">
        <f aca="false">N15</f>
        <v>8</v>
      </c>
      <c r="H84" s="529" t="n">
        <f aca="false">N16</f>
        <v>2</v>
      </c>
      <c r="I84" s="529" t="n">
        <f aca="false">N17</f>
        <v>0</v>
      </c>
      <c r="J84" s="533" t="n">
        <f aca="false">N8</f>
        <v>6.28571428571429</v>
      </c>
      <c r="K84" s="531" t="n">
        <f aca="false">N9</f>
        <v>4.5423180273099</v>
      </c>
      <c r="L84" s="532" t="n">
        <f aca="false">N10</f>
        <v>0</v>
      </c>
      <c r="M84" s="532" t="n">
        <f aca="false">N11</f>
        <v>12</v>
      </c>
      <c r="N84" s="531" t="n">
        <f aca="false">O8</f>
        <v>0.857142857142857</v>
      </c>
      <c r="O84" s="531" t="n">
        <f aca="false">O9</f>
        <v>0.63887656499994</v>
      </c>
      <c r="P84" s="532" t="n">
        <f aca="false">O10</f>
        <v>0</v>
      </c>
      <c r="Q84" s="532" t="n">
        <f aca="false">O11</f>
        <v>2</v>
      </c>
      <c r="R84" s="532" t="n">
        <f aca="false">F21</f>
        <v>52.4755</v>
      </c>
      <c r="S84" s="532" t="n">
        <f aca="false">K11</f>
        <v>0</v>
      </c>
      <c r="T84" s="532" t="n">
        <f aca="false">K12</f>
        <v>3</v>
      </c>
      <c r="U84" s="532" t="n">
        <f aca="false">K13</f>
        <v>3</v>
      </c>
      <c r="V84" s="534" t="n">
        <f aca="false">K14</f>
        <v>0</v>
      </c>
      <c r="W84" s="535" t="n">
        <f aca="false">K15</f>
        <v>8</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40</v>
      </c>
      <c r="T87" s="280"/>
      <c r="U87" s="280"/>
      <c r="V87" s="280"/>
    </row>
    <row r="88" customFormat="false" ht="12.75" hidden="true" customHeight="false" outlineLevel="0" collapsed="false">
      <c r="P88" s="280"/>
      <c r="Q88" s="280" t="s">
        <v>2691</v>
      </c>
      <c r="R88" s="280"/>
      <c r="S88" s="488" t="n">
        <f aca="false">VLOOKUP((S87),($S$23:$U$82),2,0)</f>
        <v>40</v>
      </c>
      <c r="T88" s="280"/>
      <c r="U88" s="280"/>
      <c r="V88" s="280"/>
    </row>
    <row r="89" customFormat="false" ht="12.75" hidden="true" customHeight="false" outlineLevel="0" collapsed="false">
      <c r="Q89" s="280" t="s">
        <v>2692</v>
      </c>
      <c r="R89" s="280"/>
      <c r="S89" s="488" t="n">
        <f aca="false">VLOOKUP((S87),($S$23:$U$82),3,0)</f>
        <v>4</v>
      </c>
      <c r="T89" s="280"/>
    </row>
    <row r="90" customFormat="false" ht="12.75" hidden="false" customHeight="false" outlineLevel="0" collapsed="false">
      <c r="Q90" s="280" t="s">
        <v>2693</v>
      </c>
      <c r="R90" s="280"/>
      <c r="S90" s="538" t="n">
        <f aca="false">IF(ISERROR(SUM($T$23:$T$82)/SUM($U$23:$U$82)),"",(SUM($T$23:$T$82)-S88)/(SUM($U$23:$U$82)-S89))</f>
        <v>8.41176470588235</v>
      </c>
      <c r="T90" s="280"/>
    </row>
    <row r="91" customFormat="false" ht="12.75" hidden="false" customHeight="false" outlineLevel="0" collapsed="false">
      <c r="Q91" s="487" t="s">
        <v>2694</v>
      </c>
      <c r="R91" s="487"/>
      <c r="S91" s="487" t="str">
        <f aca="false">INDEX('liste reference'!$A$8:$A$904,$T$91)</f>
        <v>MELSPX</v>
      </c>
      <c r="T91" s="280" t="n">
        <f aca="false">IF(ISERROR(MATCH($S$93,'liste reference'!$A$8:$A$904,0)),MATCH($S$93,'liste reference'!$B$8:$B$904,0),(MATCH($S$93,'liste reference'!$A$8:$A$904,0)))</f>
        <v>36</v>
      </c>
      <c r="U91" s="527"/>
    </row>
    <row r="92" customFormat="false" ht="12.75" hidden="false" customHeight="false" outlineLevel="0" collapsed="false">
      <c r="Q92" s="280" t="s">
        <v>2695</v>
      </c>
      <c r="R92" s="280"/>
      <c r="S92" s="280" t="n">
        <f aca="false">MATCH(S87,$S$23:$S$82,0)</f>
        <v>2</v>
      </c>
      <c r="T92" s="280"/>
    </row>
    <row r="93" customFormat="false" ht="12.75" hidden="false" customHeight="false" outlineLevel="0" collapsed="false">
      <c r="Q93" s="487" t="s">
        <v>2696</v>
      </c>
      <c r="R93" s="280"/>
      <c r="S93" s="487" t="str">
        <f aca="false">INDEX($A$23:$A$82,$S$92)</f>
        <v>MELSPX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2639</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2014-04-09T10:33:26Z</dcterms:modified>
  <cp:revision>0</cp:revision>
  <dc:subject/>
  <dc:title>Feuille d'aide au calcul de l'IBMR</dc:title>
</cp:coreProperties>
</file>