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Rieutord à La Bastide"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'Rieutord à La Bastide'!$A$1:$O$82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'Rieutord à La Bastide'!$A$23:$J$84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<sst xmlns="http://schemas.openxmlformats.org/spreadsheetml/2006/main" count="7339" uniqueCount="2726">
  <si>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</si>
  <si>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</si>
  <si>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</si>
  <si>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</si>
  <si>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</si>
  <si>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</si>
  <si>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</si>
  <si>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</si>
  <si>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</si>
  <si>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</si>
  <si>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</si>
  <si>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</si>
  <si>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</si>
  <si>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</si>
  <si>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</si>
  <si>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</si>
  <si>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</si>
  <si>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</si>
  <si>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</si>
  <si>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</si>
  <si>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</si>
  <si>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</si>
  <si>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</si>
  <si>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</si>
  <si>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</si>
  <si>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</si>
  <si>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</si>
  <si>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</si>
  <si>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</si>
  <si>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</si>
  <si>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</si>
  <si>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</si>
  <si>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</si>
  <si>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</si>
  <si>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</si>
  <si>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</si>
  <si>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</si>
  <si>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</si>
  <si>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</si>
  <si>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</si>
  <si>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</si>
  <si>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</si>
  <si>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</si>
  <si>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</si>
  <si>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</si>
  <si>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</si>
  <si>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</si>
  <si>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</si>
  <si>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</si>
  <si>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</si>
  <si>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</si>
  <si>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</si>
  <si>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</si>
  <si>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</si>
  <si>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</si>
  <si>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</si>
  <si>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</si>
  <si>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</si>
  <si>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</si>
  <si>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</si>
  <si>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</si>
  <si>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</si>
  <si>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</si>
  <si>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</si>
  <si>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</si>
  <si>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</si>
  <si>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</si>
  <si>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</si>
  <si>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</si>
  <si>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</si>
  <si>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</si>
  <si>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</si>
  <si>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</si>
  <si>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</si>
  <si>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</si>
  <si>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</si>
  <si>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</si>
  <si>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</si>
  <si>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</si>
  <si>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</si>
  <si>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</si>
  <si>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</si>
  <si>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</si>
  <si>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</si>
  <si>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</si>
  <si>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</si>
  <si>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</si>
  <si>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</si>
  <si>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</si>
  <si>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</si>
  <si>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</si>
  <si>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</si>
  <si>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</si>
  <si>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</si>
  <si>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</si>
  <si>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</si>
  <si>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</si>
  <si>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</si>
  <si>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</si>
  <si>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</si>
  <si>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</si>
  <si>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</si>
  <si>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</si>
  <si>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</si>
  <si>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</si>
  <si>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</si>
  <si>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</si>
  <si>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</si>
  <si>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</si>
  <si>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</si>
  <si>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</si>
  <si>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</si>
  <si>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</si>
  <si>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</si>
  <si>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</si>
  <si>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</si>
  <si>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</si>
  <si>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</si>
  <si>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</si>
  <si>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</si>
  <si>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</si>
  <si>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</si>
  <si>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</si>
  <si>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</si>
  <si>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</si>
  <si>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</si>
  <si>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</si>
  <si>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</si>
  <si>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</si>
  <si>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</si>
  <si>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</si>
  <si>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</si>
  <si>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</si>
  <si>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</si>
  <si>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</si>
  <si>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</si>
  <si>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</si>
  <si>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</si>
  <si>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</si>
  <si>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</si>
  <si>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</si>
  <si>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</si>
  <si>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</si>
  <si>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</si>
  <si>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</si>
  <si>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</si>
  <si>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</si>
  <si>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</si>
  <si>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</si>
  <si>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</si>
  <si>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</si>
  <si>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</si>
  <si>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</si>
  <si>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</si>
  <si>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</si>
  <si>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</si>
  <si>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</si>
  <si>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</si>
  <si>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</si>
  <si>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</si>
  <si>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</si>
  <si>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</si>
  <si>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</si>
  <si>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</si>
  <si>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</si>
  <si>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</si>
  <si>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</si>
  <si>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</si>
  <si>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</si>
  <si>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</si>
  <si>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</si>
  <si>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</si>
  <si>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</si>
  <si>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</si>
  <si>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</si>
  <si>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</si>
  <si>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</si>
  <si>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</si>
  <si>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</si>
  <si>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</si>
  <si>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</si>
  <si>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</si>
  <si>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</si>
  <si>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</si>
  <si>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</si>
  <si>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</si>
  <si>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</si>
  <si>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</si>
  <si>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</si>
  <si>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</si>
  <si>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</si>
  <si>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</si>
  <si>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</si>
  <si>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</si>
  <si>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</si>
  <si>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</si>
  <si>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</si>
  <si>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</si>
  <si>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</si>
  <si>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</si>
  <si>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</si>
  <si>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</si>
  <si>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</si>
  <si>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</si>
  <si>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</si>
  <si>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</si>
  <si>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</si>
  <si>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</si>
  <si>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</si>
  <si>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</si>
  <si>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</si>
  <si>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</si>
  <si>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</si>
  <si>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</si>
  <si>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</si>
  <si>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</si>
  <si>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</si>
  <si>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</si>
  <si>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</si>
  <si>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</si>
  <si>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</si>
  <si>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</si>
  <si>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</si>
  <si>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</si>
  <si>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</si>
  <si>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</si>
  <si>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</si>
  <si>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</si>
  <si>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</si>
  <si>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</si>
  <si>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</si>
  <si>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</si>
  <si>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</si>
  <si>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</si>
  <si>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</si>
  <si>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</si>
  <si>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</si>
  <si>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</si>
  <si>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</si>
  <si>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</si>
  <si>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</si>
  <si>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</si>
  <si>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</si>
  <si>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</si>
  <si>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</si>
  <si>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</si>
  <si>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</si>
  <si>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</si>
  <si>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</si>
  <si>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</si>
  <si>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</si>
  <si>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</si>
  <si>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</si>
  <si>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</si>
  <si>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</si>
  <si>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</si>
  <si>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</si>
  <si>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</si>
  <si>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</si>
  <si>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</si>
  <si>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</si>
  <si>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</si>
  <si>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</si>
  <si>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</si>
  <si>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</si>
  <si>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</si>
  <si>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</si>
  <si>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</si>
  <si>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</si>
  <si>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</si>
  <si>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</si>
  <si>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</si>
  <si>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</si>
  <si>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</si>
  <si>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</si>
  <si>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</si>
  <si>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</si>
  <si>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</si>
  <si>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</si>
  <si>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</si>
  <si>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</si>
  <si>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</si>
  <si>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</si>
  <si>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</si>
  <si>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</si>
  <si>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</si>
  <si>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</si>
  <si>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</si>
  <si>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</si>
  <si>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</si>
  <si>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</si>
  <si>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</si>
  <si>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</si>
  <si>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</si>
  <si>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</si>
  <si>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</si>
  <si>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</si>
  <si>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</si>
  <si>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</si>
  <si>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</si>
  <si>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</si>
  <si>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</si>
  <si>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</si>
  <si>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</si>
  <si>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</si>
  <si>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</si>
  <si>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</si>
  <si>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</si>
  <si>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</si>
  <si>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</si>
  <si>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</si>
  <si>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</si>
  <si>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</si>
  <si>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</si>
  <si>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</si>
  <si>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</si>
  <si>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</si>
  <si>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</si>
  <si>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</si>
  <si>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</si>
  <si>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</si>
  <si>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</si>
  <si>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</si>
  <si>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</si>
  <si>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</si>
  <si>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</si>
  <si>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</si>
  <si>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</si>
  <si>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</si>
  <si>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</si>
  <si>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</si>
  <si>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</si>
  <si>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</si>
  <si>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</si>
  <si>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</si>
  <si>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</si>
  <si>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</si>
  <si>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</si>
  <si>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</si>
  <si>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</si>
  <si>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</si>
  <si>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</si>
  <si>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</si>
  <si>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</si>
  <si>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</si>
  <si>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</si>
  <si>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</si>
  <si>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</si>
  <si>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</si>
  <si>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</si>
  <si>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</si>
  <si>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</si>
  <si>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</si>
  <si>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</si>
  <si>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</si>
  <si>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</si>
  <si>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</si>
  <si>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</si>
  <si>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</si>
  <si>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</si>
  <si>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</si>
  <si>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</si>
  <si>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</si>
  <si>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</si>
  <si>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</si>
  <si>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</si>
  <si>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</si>
  <si>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</si>
  <si>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</si>
  <si>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</si>
  <si>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</si>
  <si>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</si>
  <si>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</si>
  <si>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</si>
  <si>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</si>
  <si>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</si>
  <si>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</si>
  <si>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</si>
  <si>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</si>
  <si>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</si>
  <si>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</si>
  <si>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</si>
  <si>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</si>
  <si>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</si>
  <si>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</si>
  <si>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</si>
  <si>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</si>
  <si>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</si>
  <si>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</si>
  <si>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</si>
  <si>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</si>
  <si>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</si>
  <si>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</si>
  <si>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</si>
  <si>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</si>
  <si>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</si>
  <si>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</si>
  <si>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</si>
  <si>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</si>
  <si>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</si>
  <si>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</si>
  <si>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</si>
  <si>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</si>
  <si>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</si>
  <si>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</si>
  <si>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</si>
  <si>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</si>
  <si>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</si>
  <si>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</si>
  <si>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</si>
  <si>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</si>
  <si>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</si>
  <si>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</si>
  <si>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</si>
  <si>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</si>
  <si>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</si>
  <si>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</si>
  <si>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</si>
  <si>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</si>
  <si>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</si>
  <si>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</si>
  <si>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</si>
  <si>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</si>
  <si>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</si>
  <si>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</si>
  <si>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</si>
  <si>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</si>
  <si>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</si>
  <si>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</si>
  <si>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</si>
  <si>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</si>
  <si>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</si>
  <si>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</si>
  <si>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</si>
  <si>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</si>
  <si>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</si>
  <si>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</si>
  <si>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</si>
  <si>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</si>
  <si>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</si>
  <si>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</si>
  <si>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</si>
  <si>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</si>
  <si>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</si>
  <si>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</si>
  <si>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</si>
  <si>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</si>
  <si>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</si>
  <si>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</si>
  <si>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</si>
  <si>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</si>
  <si>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</si>
  <si>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</si>
  <si>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</si>
  <si>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</si>
  <si>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</si>
  <si>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</si>
  <si>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</si>
  <si>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</si>
  <si>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</si>
  <si>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</si>
  <si>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</si>
  <si>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</si>
  <si>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</si>
  <si>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</si>
  <si>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</si>
  <si>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</si>
  <si>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</si>
  <si>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</si>
  <si>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</si>
  <si>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</si>
  <si>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</si>
  <si>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</si>
  <si>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</si>
  <si>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</si>
  <si>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</si>
  <si>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</si>
  <si>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</si>
  <si>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</si>
  <si>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</si>
  <si>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</si>
  <si>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</si>
  <si>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</si>
  <si>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</si>
  <si>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</si>
  <si>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</si>
  <si>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</si>
  <si>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</si>
  <si>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</si>
  <si>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</si>
  <si>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</si>
  <si>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</si>
  <si>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</si>
  <si>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</si>
  <si>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</si>
  <si>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</si>
  <si>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</si>
  <si>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</si>
  <si>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</si>
  <si>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</si>
  <si>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</si>
  <si>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</si>
  <si>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</si>
  <si>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</si>
  <si>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</si>
  <si>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</si>
  <si>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</si>
  <si>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</si>
  <si>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</si>
  <si>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</si>
  <si>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</si>
  <si>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</si>
  <si>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</si>
  <si>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</si>
  <si>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</si>
  <si>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</si>
  <si>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</si>
  <si>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</si>
  <si>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</si>
  <si>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</si>
  <si>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</si>
  <si>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</si>
  <si>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</si>
  <si>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</si>
  <si>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</si>
  <si>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</si>
  <si>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</si>
  <si>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</si>
  <si>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</si>
  <si>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</si>
  <si>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</si>
  <si>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</si>
  <si>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</si>
  <si>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</si>
  <si>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</si>
  <si>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</si>
  <si>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</si>
  <si>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</si>
  <si>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</si>
  <si>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</si>
  <si>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</si>
  <si>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</si>
  <si>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</si>
  <si>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</si>
  <si>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</si>
  <si>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</si>
  <si>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</si>
  <si>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</si>
  <si>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</si>
  <si>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</si>
  <si>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</si>
  <si>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</si>
  <si>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</si>
  <si>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</si>
  <si>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</si>
  <si>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</si>
  <si>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</si>
  <si>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</si>
  <si>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</si>
  <si>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</si>
  <si>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</si>
  <si>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</si>
  <si>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</si>
  <si>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</si>
  <si>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</si>
  <si>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</si>
  <si>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</si>
  <si>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</si>
  <si>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</si>
  <si>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</si>
  <si>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</si>
  <si>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</si>
  <si>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</si>
  <si>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</si>
  <si>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</si>
  <si>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</si>
  <si>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</si>
  <si>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</si>
  <si>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</si>
  <si>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</si>
  <si>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</si>
  <si>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</si>
  <si>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</si>
  <si>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</si>
  <si>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</si>
  <si>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</si>
  <si>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</si>
  <si>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</si>
  <si>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</si>
  <si>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</si>
  <si>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</si>
  <si>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</si>
  <si>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</si>
  <si>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</si>
  <si>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</si>
  <si>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</si>
  <si>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</si>
  <si>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</si>
  <si>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</si>
  <si>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</si>
  <si>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</si>
  <si>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</si>
  <si>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</si>
  <si>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</si>
  <si>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</si>
  <si>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</si>
  <si>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</si>
  <si>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</si>
  <si>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</si>
  <si>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</si>
  <si>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</si>
  <si>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</si>
  <si>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</si>
  <si>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</si>
  <si>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</si>
  <si>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</si>
  <si>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</si>
  <si>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</si>
  <si>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</si>
  <si>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</si>
  <si>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</si>
  <si>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</si>
  <si>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</si>
  <si>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</si>
  <si>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</si>
  <si>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</si>
  <si>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</si>
  <si>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</si>
  <si>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</si>
  <si>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</si>
  <si>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</si>
  <si>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</si>
  <si>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</si>
  <si>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</si>
  <si>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</si>
  <si>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</si>
  <si>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</si>
  <si>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</si>
  <si>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</si>
  <si>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</si>
  <si>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</si>
  <si>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</si>
  <si>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</si>
  <si>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</si>
  <si>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</si>
  <si>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</si>
  <si>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</si>
  <si>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</si>
  <si>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</si>
  <si>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</si>
  <si>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</si>
  <si>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</si>
  <si>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</si>
  <si>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</si>
  <si>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</si>
  <si>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</si>
  <si>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</si>
  <si>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</si>
  <si>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</si>
  <si>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</si>
  <si>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</si>
  <si>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</si>
  <si>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</si>
  <si>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</si>
  <si>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</si>
  <si>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</si>
  <si>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</si>
  <si>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</si>
  <si>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</si>
  <si>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</si>
  <si>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</si>
  <si>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</si>
  <si>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</si>
  <si>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</si>
  <si>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</si>
  <si>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</si>
  <si>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</si>
  <si>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</si>
  <si>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</si>
  <si>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</si>
  <si>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</si>
  <si>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</si>
  <si>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</si>
  <si>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</si>
  <si>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</si>
  <si>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</si>
  <si>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</si>
  <si>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</si>
  <si>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</si>
  <si>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</si>
  <si>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</si>
  <si>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</si>
  <si>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</si>
  <si>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</si>
  <si>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</si>
  <si>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</si>
  <si>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</si>
  <si>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</si>
  <si>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</si>
  <si>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</si>
  <si>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</si>
  <si>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</si>
  <si>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</si>
  <si>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</si>
  <si>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</si>
  <si>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</si>
  <si>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</si>
  <si>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</si>
  <si>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</si>
  <si>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</si>
  <si>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</si>
  <si>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</si>
  <si>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</si>
  <si>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</si>
  <si>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</si>
  <si>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</si>
  <si>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</si>
  <si>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</si>
  <si>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</si>
  <si>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</si>
  <si>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</si>
  <si>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</si>
  <si>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</si>
  <si>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</si>
  <si>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</si>
  <si>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</si>
  <si>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</si>
  <si>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</si>
  <si>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</si>
  <si>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</si>
  <si>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</si>
  <si>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</si>
  <si>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</si>
  <si>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</si>
  <si>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</si>
  <si>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</si>
  <si>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</si>
  <si>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</si>
  <si>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</si>
  <si>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</si>
  <si>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</si>
  <si>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</si>
  <si>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</si>
  <si>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</si>
  <si>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</si>
  <si>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</si>
  <si>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</si>
  <si>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</si>
  <si>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</si>
  <si>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</si>
  <si>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</si>
  <si>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</si>
  <si>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</si>
  <si>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</si>
  <si>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</si>
  <si>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</si>
  <si>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</si>
  <si>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</si>
  <si>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</si>
  <si>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</si>
  <si>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</si>
  <si>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</si>
  <si>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</si>
  <si>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</si>
  <si>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</si>
  <si>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</si>
  <si>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</si>
  <si>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</si>
  <si>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</si>
  <si>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</si>
  <si>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</si>
  <si>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</si>
  <si>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</si>
  <si>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</si>
  <si>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</si>
  <si>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</si>
  <si>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</si>
  <si>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</si>
  <si>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</si>
  <si>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</si>
  <si>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</si>
  <si>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</si>
  <si>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</si>
  <si>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</si>
  <si>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</si>
  <si>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</si>
  <si>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</si>
  <si>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</si>
  <si>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</si>
  <si>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</si>
  <si>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</si>
  <si>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</si>
  <si>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</si>
  <si>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</si>
  <si>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</si>
  <si>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</si>
  <si>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</si>
  <si>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</si>
  <si>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</si>
  <si>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</si>
  <si>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</si>
  <si>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</si>
  <si>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</si>
  <si>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</si>
  <si>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</si>
  <si>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</si>
  <si>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</si>
  <si>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</si>
  <si>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</si>
  <si>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</si>
  <si>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</si>
  <si>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</si>
  <si>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</si>
  <si>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</si>
  <si>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</si>
  <si>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</si>
  <si>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</si>
  <si>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</si>
  <si>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</si>
  <si>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</si>
  <si>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</si>
  <si>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</si>
  <si>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</si>
  <si>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</si>
  <si>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</si>
  <si>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</si>
  <si>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</si>
  <si>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</si>
  <si>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</si>
  <si>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</si>
  <si>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</si>
  <si>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</si>
  <si>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</si>
  <si>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</si>
  <si>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</si>
  <si>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</si>
  <si>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</si>
  <si>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</si>
  <si>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</si>
  <si>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</si>
  <si>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</si>
  <si>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</si>
  <si>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</si>
  <si>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</si>
  <si>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</si>
  <si>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</si>
  <si>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</si>
  <si>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</si>
  <si>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</si>
  <si>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</si>
  <si>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</si>
  <si>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</si>
  <si>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</si>
  <si>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</si>
  <si>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</si>
  <si>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</si>
  <si>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</si>
  <si>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</si>
  <si>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</si>
  <si>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</si>
  <si>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</si>
  <si>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</si>
  <si>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</si>
  <si>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</si>
  <si>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</si>
  <si>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</si>
  <si>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</si>
  <si>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</si>
  <si>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</si>
  <si>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</si>
  <si>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</si>
  <si>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</si>
  <si>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</si>
  <si>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</si>
  <si>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</si>
  <si>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</si>
  <si>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</si>
  <si>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</si>
  <si>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</si>
  <si>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</si>
  <si>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</si>
  <si>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</si>
  <si>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</si>
  <si>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</si>
  <si>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</si>
  <si>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</si>
  <si>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</si>
  <si>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</si>
  <si>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</si>
  <si>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</si>
  <si>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</si>
  <si>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</si>
  <si>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</si>
  <si>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</si>
  <si>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</si>
  <si>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</si>
  <si>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</si>
  <si>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</si>
  <si>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</si>
  <si>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</si>
  <si>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</si>
  <si>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</si>
  <si>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</si>
  <si>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</si>
  <si>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</si>
  <si>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</si>
  <si>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</si>
  <si>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</si>
  <si>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</si>
  <si>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</si>
  <si>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</si>
  <si>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</si>
  <si>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</si>
  <si>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</si>
  <si>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</si>
  <si>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</si>
  <si>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</si>
  <si>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</si>
  <si>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</si>
  <si>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</si>
  <si>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</si>
  <si>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</si>
  <si>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</si>
  <si>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</si>
  <si>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</si>
  <si>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</si>
  <si>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</si>
  <si>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</si>
  <si>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</si>
  <si>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</si>
  <si>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</si>
  <si>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</si>
  <si>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</si>
  <si>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</si>
  <si>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</si>
  <si>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</si>
  <si>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</si>
  <si>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</si>
  <si>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</si>
  <si>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</si>
  <si>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</si>
  <si>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</si>
  <si>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</si>
  <si>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</si>
  <si>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</si>
  <si>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</si>
  <si>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</si>
  <si>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</si>
  <si>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</si>
  <si>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</si>
  <si>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</si>
  <si>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</si>
  <si>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</si>
  <si>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</si>
  <si>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</si>
  <si>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</si>
  <si>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</si>
  <si>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</si>
  <si>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</si>
  <si>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</si>
  <si>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</si>
  <si>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</si>
  <si>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</si>
  <si>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</si>
  <si>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</si>
  <si>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</si>
  <si>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</si>
  <si>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</si>
  <si>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</si>
  <si>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</si>
  <si>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</si>
  <si>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</si>
  <si>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</si>
  <si>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</si>
  <si>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</si>
  <si>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</si>
  <si>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</si>
  <si>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</si>
  <si>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</si>
  <si>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</si>
  <si>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</si>
  <si>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</si>
  <si>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</si>
  <si>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</si>
  <si>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</si>
  <si>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</si>
  <si>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</si>
  <si>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</si>
  <si>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</si>
  <si>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</si>
  <si>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</si>
  <si>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</si>
  <si>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</si>
  <si>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</si>
  <si>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</si>
  <si>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</si>
  <si>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</si>
  <si>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</si>
  <si>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</si>
  <si>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</si>
  <si>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</si>
  <si>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</si>
  <si>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</si>
  <si>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</si>
  <si>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</si>
  <si>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</si>
  <si>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</si>
  <si>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</si>
  <si>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</si>
  <si>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</si>
  <si>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</si>
  <si>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</si>
  <si>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</si>
  <si>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</si>
  <si>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</si>
  <si>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</si>
  <si>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</si>
  <si>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</si>
  <si>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</si>
  <si>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</si>
  <si>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</si>
  <si>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</si>
  <si>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</si>
  <si>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</si>
  <si>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</si>
  <si>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</si>
  <si>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</si>
  <si>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</si>
  <si>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</si>
  <si>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</si>
  <si>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</si>
  <si>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</si>
  <si>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</si>
  <si>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</si>
  <si>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</si>
  <si>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</si>
  <si>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</si>
  <si>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</si>
  <si>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</si>
  <si>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</si>
  <si>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</si>
  <si>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</si>
  <si>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</si>
  <si>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</si>
  <si>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</si>
  <si>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</si>
  <si>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</si>
  <si>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</si>
  <si>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</si>
  <si>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</si>
  <si>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</si>
  <si>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</si>
  <si>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</si>
  <si>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</si>
  <si>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</si>
  <si>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</si>
  <si>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</si>
  <si>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</si>
  <si>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</si>
  <si>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</si>
  <si>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</si>
  <si>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</si>
  <si>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</si>
  <si>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</si>
  <si>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</si>
  <si>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</si>
  <si>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</si>
  <si>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</si>
  <si>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</si>
  <si>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</si>
  <si>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</si>
  <si>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</si>
  <si>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</si>
  <si>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</si>
  <si>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</si>
  <si>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</si>
  <si>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</si>
  <si>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</si>
  <si>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</si>
  <si>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</si>
  <si>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</si>
  <si>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</si>
  <si>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</si>
  <si>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</si>
  <si>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</si>
  <si>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</si>
  <si>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</si>
  <si>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</si>
  <si>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</si>
  <si>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</si>
  <si>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</si>
  <si>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</si>
  <si>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</si>
  <si>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</si>
  <si>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</si>
  <si>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</si>
  <si>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</si>
  <si>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</si>
  <si>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</si>
  <si>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</si>
  <si>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</si>
  <si>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</si>
  <si>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</si>
  <si>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</si>
  <si>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</si>
  <si>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</si>
  <si>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</si>
  <si>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</si>
  <si>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</si>
  <si>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</si>
  <si>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</si>
  <si>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</si>
  <si>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</si>
  <si>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</si>
  <si>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</si>
  <si>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</si>
  <si>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</si>
  <si>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</si>
  <si>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</si>
  <si>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</si>
  <si>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</si>
  <si>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</si>
  <si>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</si>
  <si>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</si>
  <si>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</si>
  <si>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</si>
  <si>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</si>
  <si>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</si>
  <si>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</si>
  <si>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</si>
  <si>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</si>
  <si>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</si>
  <si>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</si>
  <si>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</si>
  <si>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</si>
  <si>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</si>
  <si>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</si>
  <si>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</si>
  <si>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</si>
  <si>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</si>
  <si>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</si>
  <si>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</si>
  <si>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</si>
  <si>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</si>
  <si>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</si>
  <si>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</si>
  <si>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</si>
  <si>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</si>
  <si>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</si>
  <si>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</si>
  <si>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</si>
  <si>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</si>
  <si>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</si>
  <si>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</si>
  <si>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</si>
  <si>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</si>
  <si>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</si>
  <si>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</si>
  <si>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</si>
  <si>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</si>
  <si>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</si>
  <si>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</si>
  <si>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</si>
  <si>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</si>
  <si>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</si>
  <si>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</si>
  <si>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</si>
  <si>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</si>
  <si>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</si>
  <si>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</si>
  <si>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</si>
  <si>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</si>
  <si>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</si>
  <si>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</si>
  <si>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</si>
  <si>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</si>
  <si>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</si>
  <si>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</si>
  <si>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</si>
  <si>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</si>
  <si>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</si>
  <si>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</si>
  <si>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</si>
  <si>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</si>
  <si>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</si>
  <si>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</si>
  <si>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</si>
  <si>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</si>
  <si>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</si>
  <si>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</si>
  <si>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</si>
  <si>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</si>
  <si>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</si>
  <si>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</si>
  <si>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</si>
  <si>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</si>
  <si>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</si>
  <si>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</si>
  <si>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</si>
  <si>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</si>
  <si>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</si>
  <si>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</si>
  <si>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</si>
  <si>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</si>
  <si>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</si>
  <si>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</si>
  <si>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</si>
  <si>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</si>
  <si>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</si>
  <si>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</si>
  <si>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</si>
  <si>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</si>
  <si>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</si>
  <si>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</si>
  <si>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</si>
  <si>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</si>
  <si>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</si>
  <si>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</si>
  <si>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</si>
  <si>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</si>
  <si>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</si>
  <si>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</si>
  <si>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</si>
  <si>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</si>
  <si>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</si>
  <si>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</si>
  <si>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</si>
  <si>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</si>
  <si>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</si>
  <si>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</si>
  <si>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</si>
  <si>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</si>
  <si>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</si>
  <si>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</si>
  <si>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</si>
  <si>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</si>
  <si>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</si>
  <si>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</si>
  <si>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</si>
  <si>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</si>
  <si>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</si>
  <si>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</si>
  <si>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</si>
  <si>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</si>
  <si>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</si>
  <si>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</si>
  <si>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</si>
  <si>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</si>
  <si>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</si>
  <si>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</si>
  <si>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</si>
  <si>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</si>
  <si>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</si>
  <si>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</si>
  <si>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</si>
  <si>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</si>
  <si>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</si>
  <si>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</si>
  <si>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</si>
  <si>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</si>
  <si>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</si>
  <si>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</si>
  <si>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</si>
  <si>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</si>
  <si>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</si>
  <si>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</si>
  <si>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</si>
  <si>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</si>
  <si>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</si>
  <si>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</si>
  <si>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</si>
  <si>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</si>
  <si>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</si>
  <si>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</si>
  <si>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</si>
  <si>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</si>
  <si>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</si>
  <si>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</si>
  <si>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</si>
  <si>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</si>
  <si>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</si>
  <si>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</si>
  <si>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</si>
  <si>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</si>
  <si>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</si>
  <si>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</si>
  <si>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</si>
  <si>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</si>
  <si>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</si>
  <si>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</si>
  <si>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</si>
  <si>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</si>
  <si>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</si>
  <si>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</si>
  <si>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</si>
  <si>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</si>
  <si>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</si>
  <si>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</si>
  <si>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</si>
  <si>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</si>
  <si>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</si>
  <si>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</si>
  <si>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</si>
  <si>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</si>
  <si>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</si>
  <si>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</si>
  <si>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</si>
  <si>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</si>
  <si>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</si>
  <si>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</si>
  <si>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</si>
  <si>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</si>
  <si>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</si>
  <si>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</si>
  <si>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</si>
  <si>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</si>
  <si>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</si>
  <si>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</si>
  <si>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</si>
  <si>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</si>
  <si>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</si>
  <si>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</si>
  <si>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</si>
  <si>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</si>
  <si>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</si>
  <si>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</si>
  <si>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</si>
  <si>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</si>
  <si>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</si>
  <si>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</si>
  <si>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</si>
  <si>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</si>
  <si>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</si>
  <si>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</si>
  <si>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</si>
  <si>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</si>
  <si>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</si>
  <si>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</si>
  <si>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</si>
  <si>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</si>
  <si>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</si>
  <si>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</si>
  <si>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</si>
  <si>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</si>
  <si>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</si>
  <si>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</si>
  <si>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</si>
  <si>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</si>
  <si>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</si>
  <si>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</si>
  <si>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</si>
  <si>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</si>
  <si>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</si>
  <si>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</si>
  <si>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</si>
  <si>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</si>
  <si>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</si>
  <si>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</si>
  <si>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</si>
  <si>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</si>
  <si>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</si>
  <si>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</si>
  <si>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</si>
  <si>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</si>
  <si>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</si>
  <si>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</si>
  <si>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</si>
  <si>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</si>
  <si>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</si>
  <si>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</si>
  <si>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</si>
  <si>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</si>
  <si>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</si>
  <si>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</si>
  <si>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</si>
  <si>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</si>
  <si>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</si>
  <si>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</si>
  <si>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</si>
  <si>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</si>
  <si>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</si>
  <si>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</si>
  <si>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</si>
  <si>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</si>
  <si>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</si>
  <si>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</si>
  <si>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</si>
  <si>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</si>
  <si>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</si>
  <si>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</si>
  <si>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</si>
  <si>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</si>
  <si>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</si>
  <si>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</si>
  <si>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</si>
  <si>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</si>
  <si>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</si>
  <si>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</si>
  <si>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</si>
  <si>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</si>
  <si>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</si>
  <si>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</si>
  <si>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</si>
  <si>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</si>
  <si>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</si>
  <si>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</si>
  <si>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</si>
  <si>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</si>
  <si>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</si>
  <si>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</si>
  <si>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</si>
  <si>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</si>
  <si>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</si>
  <si>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</si>
  <si>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</si>
  <si>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</si>
  <si>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</si>
  <si>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</si>
  <si>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</si>
  <si>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</si>
  <si>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</si>
  <si>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</si>
  <si>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</si>
  <si>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</si>
  <si>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</si>
  <si>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</si>
  <si>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</si>
  <si>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</si>
  <si>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</si>
  <si>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</si>
  <si>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</si>
  <si>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</si>
  <si>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</si>
  <si>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</si>
  <si>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</si>
  <si>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</si>
  <si>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</si>
  <si>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</si>
  <si>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</si>
  <si>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</si>
  <si>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</si>
  <si>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</si>
  <si>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</si>
  <si>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</si>
  <si>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</si>
  <si>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</si>
  <si>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</si>
  <si>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</si>
  <si>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</si>
  <si>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</si>
  <si>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</si>
  <si>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</si>
  <si>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</si>
  <si>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</si>
  <si>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</si>
  <si>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</si>
  <si>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</si>
  <si>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</si>
  <si>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</si>
  <si>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</si>
  <si>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</si>
  <si>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</si>
  <si>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</si>
  <si>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</si>
  <si>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</si>
  <si>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</si>
  <si>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</si>
  <si>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</si>
  <si>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</si>
  <si>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</si>
  <si>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</si>
  <si>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</si>
  <si>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</si>
  <si>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</si>
  <si>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</si>
  <si>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</si>
  <si>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</si>
  <si>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</si>
  <si>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</si>
  <si>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</si>
  <si>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</si>
  <si>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</si>
  <si>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</si>
  <si>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</si>
  <si>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</si>
  <si>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</si>
  <si>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</si>
  <si>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</si>
  <si>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</si>
  <si>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</si>
  <si>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</si>
  <si>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</si>
  <si>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</si>
  <si>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</si>
  <si>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</si>
  <si>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</si>
  <si>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</si>
  <si>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</si>
  <si>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</si>
  <si>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</si>
  <si>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</si>
  <si>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</si>
  <si>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</si>
  <si>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</si>
  <si>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</si>
  <si>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</si>
  <si>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</si>
  <si>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</si>
  <si>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</si>
  <si>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</si>
  <si>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</si>
  <si>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</si>
  <si>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</si>
  <si>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</si>
  <si>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</si>
  <si>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</si>
  <si>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</si>
  <si>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</si>
  <si>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</si>
  <si>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</si>
  <si>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</si>
  <si>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</si>
  <si>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</si>
  <si>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</si>
  <si>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</si>
  <si>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</si>
  <si>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</si>
  <si>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</si>
  <si>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</si>
  <si>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</si>
  <si>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</si>
  <si>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</si>
  <si>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</si>
  <si>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</si>
  <si>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</si>
  <si>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</si>
  <si>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</si>
  <si>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</si>
  <si>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</si>
  <si>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</si>
  <si>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</si>
  <si>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</si>
  <si>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</si>
  <si>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</si>
  <si>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</si>
  <si>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</si>
  <si>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</si>
  <si>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</si>
  <si>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</si>
  <si>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</si>
  <si>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</si>
  <si>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</si>
  <si>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</si>
  <si>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</si>
  <si>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</si>
  <si>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</si>
  <si>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</si>
  <si>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</si>
  <si>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</si>
  <si>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</si>
  <si>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</si>
  <si>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</si>
  <si>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</si>
  <si>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</si>
  <si>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</si>
  <si>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</si>
  <si>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</si>
  <si>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</si>
  <si>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</si>
  <si>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</si>
  <si>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</si>
  <si>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</si>
  <si>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</si>
  <si>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</si>
  <si>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</si>
  <si>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</si>
  <si>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</si>
  <si>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</si>
  <si>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</si>
  <si>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</si>
  <si>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</si>
  <si>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</si>
  <si>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</si>
  <si>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</si>
  <si>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</si>
  <si>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</si>
  <si>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</si>
  <si>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</si>
  <si>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</si>
  <si>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</si>
  <si>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</si>
  <si>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</si>
  <si>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</si>
  <si>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</si>
  <si>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</si>
  <si>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</si>
  <si>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</si>
  <si>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</si>
  <si>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</si>
  <si>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</si>
  <si>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</si>
  <si>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</si>
  <si>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</si>
  <si>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</si>
  <si>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</si>
  <si>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</si>
  <si>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</si>
  <si>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</si>
  <si>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</si>
  <si>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</si>
  <si>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</si>
  <si>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</si>
  <si>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</si>
  <si>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</si>
  <si>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</si>
  <si>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</si>
  <si>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</si>
  <si>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</si>
  <si>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</si>
  <si>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</si>
  <si>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</si>
  <si>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</si>
  <si>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</si>
  <si>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</si>
  <si>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</si>
  <si>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</si>
  <si>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</si>
  <si>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</si>
  <si>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</si>
  <si>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</si>
  <si>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</si>
  <si>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</si>
  <si>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</si>
  <si>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</si>
  <si>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</si>
  <si>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</si>
  <si>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</si>
  <si>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</si>
  <si>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</si>
  <si>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</si>
  <si>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</si>
  <si>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</si>
  <si>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</si>
  <si>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</si>
  <si>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</si>
  <si>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</si>
  <si>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</si>
  <si>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</si>
  <si>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</si>
  <si>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</si>
  <si>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</si>
  <si>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</si>
  <si>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</si>
  <si>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</si>
  <si>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</si>
  <si>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</si>
  <si>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</si>
  <si>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</si>
  <si>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</si>
  <si>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</si>
  <si>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</si>
  <si>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</si>
  <si>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</si>
  <si>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</si>
  <si>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</si>
  <si>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</si>
  <si>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</si>
  <si>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</si>
  <si>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</si>
  <si>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</si>
  <si>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</si>
  <si>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</si>
  <si>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</si>
  <si>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</si>
  <si>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</si>
  <si>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</si>
  <si>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</si>
  <si>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</si>
  <si>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</si>
  <si>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</si>
  <si>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</si>
  <si>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</si>
  <si>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</si>
  <si>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</si>
  <si>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</si>
  <si>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</si>
  <si>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</si>
  <si>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</si>
  <si>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</si>
  <si>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</si>
  <si>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</si>
  <si>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</si>
  <si>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</si>
  <si>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</si>
  <si>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</si>
  <si>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</si>
  <si>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</si>
  <si>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</si>
  <si>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</si>
  <si>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</si>
  <si>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</si>
  <si>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</si>
  <si>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</si>
  <si>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</si>
  <si>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</si>
  <si>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</si>
  <si>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</si>
  <si>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</si>
  <si>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</si>
  <si>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</si>
  <si>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</si>
  <si>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</si>
  <si>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</si>
  <si>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</si>
  <si>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</si>
  <si>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</si>
  <si>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</si>
  <si>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</si>
  <si>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</si>
  <si>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</si>
  <si>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</si>
  <si>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</si>
  <si>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</si>
  <si>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</si>
  <si>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</si>
  <si>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</si>
  <si>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</si>
  <si>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</si>
  <si>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</si>
  <si>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</si>
  <si>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</si>
  <si>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</si>
  <si>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</si>
  <si>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</si>
  <si>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</si>
  <si>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</si>
  <si>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</si>
  <si>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</si>
  <si>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</si>
  <si>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</si>
  <si>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</si>
  <si>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</si>
  <si>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</si>
  <si>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</si>
  <si>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</si>
  <si>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</si>
  <si>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</si>
  <si>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</si>
  <si>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</si>
  <si>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</si>
  <si>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</si>
  <si>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</si>
  <si>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</si>
  <si>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</si>
  <si>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</si>
  <si>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</si>
  <si>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</si>
  <si>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</si>
  <si>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</si>
  <si>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</si>
  <si>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</si>
  <si>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</si>
  <si>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</si>
  <si>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</si>
  <si>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</si>
  <si>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</si>
  <si>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</si>
  <si>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</si>
  <si>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</si>
  <si>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</si>
  <si>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</si>
  <si>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</si>
  <si>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</si>
  <si>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</si>
  <si>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</si>
  <si>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</si>
  <si>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</si>
  <si>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</si>
  <si>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</si>
  <si>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</si>
  <si>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</si>
  <si>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</si>
  <si>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</si>
  <si>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</si>
  <si>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</si>
  <si>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</si>
  <si>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</si>
  <si>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</si>
  <si>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</si>
  <si>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</si>
  <si>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</si>
  <si>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</si>
  <si>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</si>
  <si>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</si>
  <si>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</si>
  <si>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</si>
  <si>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</si>
  <si>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</si>
  <si>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</si>
  <si>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</si>
  <si>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</si>
  <si>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</si>
  <si>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</si>
  <si>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</si>
  <si>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</si>
  <si>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</si>
  <si>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</si>
  <si>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</si>
  <si>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</si>
  <si>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</si>
  <si>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</si>
  <si>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</si>
  <si>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</si>
  <si>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</si>
  <si>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</si>
  <si>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</si>
  <si>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</si>
  <si>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</si>
  <si>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</si>
  <si>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</si>
  <si>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</si>
  <si>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</si>
  <si>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</si>
  <si>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</si>
  <si>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</si>
  <si>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</si>
  <si>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</si>
  <si>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</si>
  <si>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</si>
  <si>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</si>
  <si>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</si>
  <si>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</si>
  <si>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</si>
  <si>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</si>
  <si>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</si>
  <si>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</si>
  <si>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</si>
  <si>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</si>
  <si>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</si>
  <si>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</si>
  <si>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</si>
  <si>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</si>
  <si>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</si>
  <si>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</si>
  <si>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</si>
  <si>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</si>
  <si>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</si>
  <si>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</si>
  <si>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</si>
  <si>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</si>
  <si>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</si>
  <si>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</si>
  <si>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</si>
  <si>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</si>
  <si>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</si>
  <si>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</si>
  <si>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</si>
  <si>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</si>
  <si>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</si>
  <si>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</si>
  <si>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</si>
  <si>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</si>
  <si>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</si>
  <si>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</si>
  <si>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</si>
  <si>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</si>
  <si>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</si>
  <si>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</si>
  <si>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</si>
  <si>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</si>
  <si>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</si>
  <si>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</si>
  <si>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</si>
  <si>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</si>
  <si>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</si>
  <si>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</si>
  <si>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</si>
  <si>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</si>
  <si>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</si>
  <si>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</si>
  <si>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</si>
  <si>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</si>
  <si>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</si>
  <si>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</si>
  <si>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</si>
  <si>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</si>
  <si>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</si>
  <si>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</si>
  <si>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</si>
  <si>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</si>
  <si>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</si>
  <si>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</si>
  <si>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</si>
  <si>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</si>
  <si>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</si>
  <si>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</si>
  <si>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</si>
  <si>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</si>
  <si>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</si>
  <si>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</si>
  <si>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</si>
  <si>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</si>
  <si>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</si>
  <si>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</si>
  <si>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</si>
  <si>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</si>
  <si>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</si>
  <si>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</si>
  <si>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</si>
  <si>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</si>
  <si>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</si>
  <si>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</si>
  <si>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</si>
  <si>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</si>
  <si>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</si>
  <si>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</si>
  <si>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</si>
  <si>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</si>
  <si>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</si>
  <si>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</si>
  <si>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</si>
  <si>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</si>
  <si>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</si>
  <si>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</si>
  <si>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</si>
  <si>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</si>
  <si>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</si>
  <si>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</si>
  <si>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</si>
  <si>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</si>
  <si>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</si>
  <si>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</si>
  <si>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</si>
  <si>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</si>
  <si>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</si>
  <si>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</si>
  <si>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</si>
  <si>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</si>
  <si>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</si>
  <si>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</si>
  <si>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</si>
  <si>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</si>
  <si>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</si>
  <si>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</si>
  <si>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</si>
  <si>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</si>
  <si>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</si>
  <si>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</si>
  <si>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</si>
  <si>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</si>
  <si>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</si>
  <si>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</si>
  <si>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</si>
  <si>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</si>
  <si>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</si>
  <si>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</si>
  <si>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</si>
  <si>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</si>
  <si>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</si>
  <si>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</si>
  <si>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</si>
  <si>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</si>
  <si>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</si>
  <si>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</si>
  <si>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</si>
  <si>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</si>
  <si>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</si>
  <si>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</si>
  <si>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</si>
  <si>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</si>
  <si>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</si>
  <si>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</si>
  <si>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</si>
  <si>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</si>
  <si>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</si>
  <si>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</si>
  <si>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</si>
  <si>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</si>
  <si>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</si>
  <si>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</si>
  <si>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</si>
  <si>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</si>
  <si>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</si>
  <si>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</si>
  <si>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</si>
  <si>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</si>
  <si>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</si>
  <si>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</si>
  <si>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</si>
  <si>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</si>
  <si>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</si>
  <si>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</si>
  <si>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</si>
  <si>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</si>
  <si>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</si>
  <si>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</si>
  <si>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</si>
  <si>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</si>
  <si>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</si>
  <si>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</si>
  <si>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</si>
  <si>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</si>
  <si>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</si>
  <si>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</si>
  <si>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</si>
  <si>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</si>
  <si>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</si>
  <si>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</si>
  <si>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</si>
  <si>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</si>
  <si>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</si>
  <si>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</si>
  <si>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</si>
  <si>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</si>
  <si>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</si>
  <si>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</si>
  <si>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</si>
  <si>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</si>
  <si>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</si>
  <si>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</si>
  <si>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</si>
  <si>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</si>
  <si>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</si>
  <si>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</si>
  <si>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</si>
  <si>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</si>
  <si>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</si>
  <si>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</si>
  <si>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</si>
  <si>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</si>
  <si>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</si>
  <si>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</si>
  <si>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</si>
  <si>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</si>
  <si>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</si>
  <si>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</si>
  <si>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</si>
  <si>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</si>
  <si>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</si>
  <si>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</si>
  <si>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</si>
  <si>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</si>
  <si>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</si>
  <si>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</si>
  <si>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</si>
  <si>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</si>
  <si>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</si>
  <si>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</si>
  <si>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</si>
  <si>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</si>
  <si>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</si>
  <si>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</si>
  <si>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</si>
  <si>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</si>
  <si>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</si>
  <si>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</si>
  <si>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</si>
  <si>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</si>
  <si>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</si>
  <si>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</si>
  <si>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</si>
  <si>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</si>
  <si>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</si>
  <si>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</si>
  <si>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</si>
  <si>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</si>
  <si>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</si>
  <si>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</si>
  <si>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</si>
  <si>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</si>
  <si>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</si>
  <si>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</si>
  <si>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</si>
  <si>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</si>
  <si>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</si>
  <si>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</si>
  <si>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</si>
  <si>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</si>
  <si>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</si>
  <si>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</si>
  <si>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</si>
  <si>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</si>
  <si>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</si>
  <si>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</si>
  <si>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</si>
  <si>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</si>
  <si>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</si>
  <si>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</si>
  <si>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</si>
  <si>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</si>
  <si>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</si>
  <si>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</si>
  <si>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</si>
  <si>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</si>
  <si>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</si>
  <si>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</si>
  <si>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</si>
  <si>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</si>
  <si>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</si>
  <si>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</si>
  <si>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</si>
  <si>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</si>
  <si>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</si>
  <si>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</si>
  <si>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</si>
  <si>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</si>
  <si>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</si>
  <si>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</si>
  <si>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</si>
  <si>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</si>
  <si>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</si>
  <si>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</si>
  <si>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</si>
  <si>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</si>
  <si>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</si>
  <si>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</si>
  <si>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</si>
  <si>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</si>
  <si>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</si>
  <si>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</si>
  <si>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</si>
  <si>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</si>
  <si>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</si>
  <si>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</si>
  <si>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</si>
  <si>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</si>
  <si>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</si>
  <si>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</si>
  <si>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</si>
  <si>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</si>
  <si>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</si>
  <si>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</si>
  <si>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</si>
  <si>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</si>
  <si>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</si>
  <si>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</si>
  <si>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</si>
  <si>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</si>
  <si>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</si>
  <si>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</si>
  <si>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</si>
  <si>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</si>
  <si>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</si>
  <si>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</si>
  <si>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</si>
  <si>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</si>
  <si>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</si>
  <si>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</si>
  <si>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</si>
  <si>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</si>
  <si>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</si>
  <si>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</si>
  <si>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</si>
  <si>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</si>
  <si>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</si>
  <si>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</si>
  <si>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</si>
  <si>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</si>
  <si>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</si>
  <si>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</si>
  <si>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</si>
  <si>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</si>
  <si>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</si>
  <si>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</si>
  <si>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</si>
  <si>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</si>
  <si>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</si>
  <si>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</si>
  <si>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</si>
  <si>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</si>
  <si>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</si>
  <si>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</si>
  <si>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</si>
  <si>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</si>
  <si>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</si>
  <si>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</si>
  <si>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</si>
  <si>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</si>
  <si>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</si>
  <si>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</si>
  <si>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</si>
  <si>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</si>
  <si>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</si>
  <si>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</si>
  <si>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</si>
  <si>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</si>
  <si>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</si>
  <si>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</si>
  <si>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</si>
  <si>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</si>
  <si>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</si>
  <si>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</si>
  <si>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</si>
  <si>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</si>
  <si>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</si>
  <si>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</si>
  <si>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</si>
  <si>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</si>
  <si>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</si>
  <si>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</si>
  <si>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</si>
  <si>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</si>
  <si>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</si>
  <si>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</si>
  <si>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</si>
  <si>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</si>
  <si>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</si>
  <si>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</si>
  <si>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</si>
  <si>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</si>
  <si>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</si>
  <si>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</si>
  <si>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</si>
  <si>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</si>
  <si>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</si>
  <si>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</si>
  <si>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</si>
  <si>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</si>
  <si>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</si>
  <si>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</si>
  <si>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</si>
  <si>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</si>
  <si>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</si>
  <si>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</si>
  <si>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</si>
  <si>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</si>
  <si>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</si>
  <si>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</si>
  <si>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</si>
  <si>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</si>
  <si>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</si>
  <si>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</si>
  <si>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</si>
  <si>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</si>
  <si>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</si>
  <si>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</si>
  <si>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</si>
  <si>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</si>
  <si>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</si>
  <si>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</si>
  <si>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</si>
  <si>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</si>
  <si>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</si>
  <si>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</si>
  <si>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</si>
  <si>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</si>
  <si>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</si>
  <si>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</si>
  <si>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</si>
  <si>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</si>
  <si>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</si>
  <si>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</si>
  <si>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</si>
  <si>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</si>
  <si>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</si>
  <si>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</si>
  <si>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</si>
  <si>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</si>
  <si>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</si>
  <si>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</si>
  <si>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</si>
  <si>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</si>
  <si>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</si>
  <si>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</si>
  <si>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</si>
  <si>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</si>
  <si>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</si>
  <si>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</si>
  <si>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</si>
  <si>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</si>
  <si>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</si>
  <si>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</si>
  <si>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</si>
  <si>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</si>
  <si>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</si>
  <si>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</si>
  <si>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</si>
  <si>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</si>
  <si>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</si>
  <si>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</si>
  <si>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</si>
  <si>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</si>
  <si>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</si>
  <si>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</si>
  <si>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</si>
  <si>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</si>
  <si>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</si>
  <si>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</si>
  <si>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</si>
  <si>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</si>
  <si>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</si>
  <si>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</si>
  <si>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</si>
  <si>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</si>
  <si>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</si>
  <si>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</si>
  <si>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</si>
  <si>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</si>
  <si>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</si>
  <si>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</si>
  <si>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</si>
  <si>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</si>
  <si>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</si>
  <si>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</si>
  <si>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</si>
  <si>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</si>
  <si>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</si>
  <si>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</si>
  <si>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</si>
  <si>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</si>
  <si>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</si>
  <si>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</si>
  <si>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</si>
  <si>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</si>
  <si>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</si>
  <si>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</si>
  <si>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</si>
  <si>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</si>
  <si>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</si>
  <si>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</si>
  <si>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</si>
  <si>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</si>
  <si>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</si>
  <si>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</si>
  <si>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</si>
  <si>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</si>
  <si>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</si>
  <si>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</si>
  <si>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</si>
  <si>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</si>
  <si>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</si>
  <si>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</si>
  <si>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</si>
  <si>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</si>
  <si>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</si>
  <si>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</si>
  <si>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</si>
  <si>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</si>
  <si>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</si>
  <si>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</si>
  <si>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</si>
  <si>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</si>
  <si>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</si>
  <si>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</si>
  <si>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</si>
  <si>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</si>
  <si>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</si>
  <si>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</si>
  <si>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</si>
  <si>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</si>
  <si>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</si>
  <si>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</si>
  <si>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</si>
  <si>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</si>
  <si>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</si>
  <si>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</si>
  <si>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</si>
  <si>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</si>
  <si>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</si>
  <si>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</si>
  <si>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</si>
  <si>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</si>
  <si>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</si>
  <si>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</si>
  <si>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</si>
  <si>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</si>
  <si>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</si>
  <si>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</si>
  <si>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</si>
  <si>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</si>
  <si>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</si>
  <si>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</si>
  <si>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</si>
  <si>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</si>
  <si>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</si>
  <si>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</si>
  <si>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</si>
  <si>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</si>
  <si>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</si>
  <si>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</si>
  <si>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</si>
  <si>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</si>
  <si>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</si>
  <si>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</si>
  <si>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</si>
  <si>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</si>
  <si>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</si>
  <si>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</si>
  <si>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</si>
  <si>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</si>
  <si>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</si>
  <si>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</si>
  <si>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</si>
  <si>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</si>
  <si>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</si>
  <si>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</si>
  <si>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</si>
  <si>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</si>
  <si>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</si>
  <si>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</si>
  <si>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</si>
  <si>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</si>
  <si>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</si>
  <si>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</si>
  <si>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</si>
  <si>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</si>
  <si>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</si>
  <si>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</si>
  <si>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</si>
  <si>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</si>
  <si>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</si>
  <si>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</si>
  <si>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</si>
  <si>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</si>
  <si>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</si>
  <si>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</si>
  <si>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</si>
  <si>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</si>
  <si>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</si>
  <si>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</si>
  <si>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</si>
  <si>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</si>
  <si>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</si>
  <si>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</si>
  <si>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</si>
  <si>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</si>
  <si>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</si>
  <si>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</si>
  <si>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</si>
  <si>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</si>
  <si>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</si>
  <si>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</si>
  <si>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</si>
  <si>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</si>
  <si>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</si>
  <si>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</si>
  <si>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</si>
  <si>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</si>
  <si>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</si>
  <si>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</si>
  <si>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</si>
  <si>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</si>
  <si>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</si>
  <si>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</si>
  <si>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</si>
  <si>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</si>
  <si>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</si>
  <si>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</si>
  <si>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</si>
  <si>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</si>
  <si>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</si>
  <si>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</si>
  <si>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</si>
  <si>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</si>
  <si>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</si>
  <si>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</si>
  <si>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</si>
  <si>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</si>
  <si>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</si>
  <si>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</si>
  <si>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</si>
  <si>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</si>
  <si>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</si>
  <si>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</si>
  <si>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</si>
  <si>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</si>
  <si>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</si>
  <si>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</si>
  <si>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</si>
  <si>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</si>
  <si>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</si>
  <si>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</si>
  <si>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</si>
  <si>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</si>
  <si>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</si>
  <si>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</si>
  <si>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</si>
  <si>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</si>
  <si>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</si>
  <si>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</si>
  <si>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</si>
  <si>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</si>
  <si>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</si>
  <si>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</si>
  <si>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</si>
  <si>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</si>
  <si>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</si>
  <si>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</si>
  <si>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</si>
  <si>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</si>
  <si>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</si>
  <si>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</si>
  <si>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</si>
  <si>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</si>
  <si>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</si>
  <si>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</si>
  <si>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</si>
  <si>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</si>
  <si>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</si>
  <si>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</si>
  <si>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</si>
  <si>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</si>
  <si>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</si>
  <si>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</si>
  <si>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</si>
  <si>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</si>
  <si>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</si>
  <si>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</si>
  <si>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</si>
  <si>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</si>
  <si>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</si>
  <si>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</si>
  <si>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</si>
  <si>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</si>
  <si>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</si>
  <si>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</si>
  <si>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</si>
  <si>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</si>
  <si>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</si>
  <si>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</si>
  <si>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</si>
  <si>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</si>
  <si>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</si>
  <si>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</si>
  <si>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</si>
  <si>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</si>
  <si>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</si>
  <si>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</si>
  <si>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</si>
  <si>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</si>
  <si>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</si>
  <si>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</si>
  <si>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</si>
  <si>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</si>
  <si>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</si>
  <si>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</si>
  <si>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</si>
  <si>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</si>
  <si>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</si>
  <si>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</si>
  <si>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</si>
  <si>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</si>
  <si>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</si>
  <si>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</si>
  <si>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</si>
  <si>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</si>
  <si>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</si>
  <si>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</si>
  <si>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</si>
  <si>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</si>
  <si>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</si>
  <si>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</si>
  <si>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</si>
  <si>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</si>
  <si>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</si>
  <si>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</si>
  <si>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</si>
  <si>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</si>
  <si>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</si>
  <si>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</si>
  <si>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</si>
  <si>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</si>
  <si>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</si>
  <si>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</si>
  <si>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</si>
  <si>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</si>
  <si>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</si>
  <si>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</si>
  <si>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</si>
  <si>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</si>
  <si>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</si>
  <si>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</si>
  <si>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</si>
  <si>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</si>
  <si>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</si>
  <si>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</si>
  <si>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</si>
  <si>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</si>
  <si>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</si>
  <si>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</si>
  <si>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</si>
  <si>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</si>
  <si>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</si>
  <si>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</si>
  <si>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</si>
  <si>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</si>
  <si>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</si>
  <si>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</si>
  <si>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</si>
  <si>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</si>
  <si>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</si>
  <si>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</si>
  <si>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</si>
  <si>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</si>
  <si>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</si>
  <si>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</si>
  <si>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</si>
  <si>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</si>
  <si>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</si>
  <si>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</si>
  <si>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</si>
  <si>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</si>
  <si>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</si>
  <si>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</si>
  <si>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</si>
  <si>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</si>
  <si>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</si>
  <si>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</si>
  <si>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</si>
  <si>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</si>
  <si>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</si>
  <si>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Arnaud Corbarieu</t>
  </si>
  <si>
    <t xml:space="preserve">conforme AFNOR T90-395 oct. 2003</t>
  </si>
  <si>
    <t xml:space="preserve">Rieutord</t>
  </si>
  <si>
    <t xml:space="preserve">La Bastide-Esparbairenque</t>
  </si>
  <si>
    <t xml:space="preserve">06178865</t>
  </si>
  <si>
    <t xml:space="preserve">RCS LR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</si>
  <si>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</si>
  <si>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</si>
  <si>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</si>
  <si>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</si>
  <si>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</si>
  <si>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</si>
  <si>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</si>
  <si>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</si>
  <si>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</si>
  <si>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</si>
  <si>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</si>
  <si>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</si>
  <si>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</si>
  <si>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</si>
  <si>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</si>
  <si>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</si>
  <si>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</si>
  <si>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</si>
  <si>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</si>
  <si>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</si>
  <si>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</si>
  <si>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</si>
  <si>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</si>
  <si>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</si>
  <si>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</si>
  <si>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</si>
  <si>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</si>
  <si>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</si>
  <si>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</si>
  <si>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</si>
  <si>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</si>
  <si>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</si>
  <si>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</si>
  <si>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</si>
  <si>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</si>
  <si>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</si>
  <si>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</si>
  <si>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</si>
  <si>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</si>
  <si>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</si>
  <si>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</si>
  <si>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</si>
  <si>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</si>
  <si>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</si>
  <si>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</si>
  <si>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</si>
  <si>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</si>
  <si>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</si>
  <si>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</si>
  <si>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</si>
  <si>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</si>
  <si>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</si>
  <si>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</si>
  <si>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</si>
  <si>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</si>
  <si>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</si>
  <si>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</si>
  <si>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</si>
  <si>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</si>
  <si>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</si>
  <si>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</si>
  <si>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</si>
  <si>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</si>
  <si>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</si>
  <si>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</si>
  <si>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</si>
  <si>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</si>
  <si>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</si>
  <si>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</si>
  <si>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</si>
  <si>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</si>
  <si>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</si>
  <si>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</si>
  <si>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</si>
  <si>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</si>
  <si>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</si>
  <si>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</si>
  <si>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</si>
  <si>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</si>
  <si>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</si>
  <si>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</si>
  <si>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</si>
  <si>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</si>
  <si>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</si>
  <si>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</si>
  <si>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</si>
  <si>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</si>
  <si>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</si>
  <si>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</si>
  <si>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</si>
  <si>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</si>
  <si>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</si>
  <si>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</si>
  <si>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</si>
  <si>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</si>
  <si>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</si>
  <si>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Cf.</t>
  </si>
  <si>
    <t xml:space="preserve">périphyton</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</si>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</sst>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41821</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13.7407407407407</v>
      </c>
      <c r="M5" s="323"/>
      <c r="N5" s="324" t="s">
        <v>670</v>
      </c>
      <c r="O5" s="325" t="n">
        <v>13.3809523809524</v>
      </c>
      <c r="P5" s="326"/>
      <c r="Q5" s="280"/>
      <c r="R5" s="280"/>
      <c r="S5" s="280"/>
      <c r="T5" s="280"/>
      <c r="U5" s="280"/>
      <c r="V5" s="280"/>
      <c r="W5" s="292"/>
      <c r="X5" s="312"/>
    </row>
    <row r="6" customFormat="false" ht="13.5"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2.75"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13.625</v>
      </c>
      <c r="O8" s="354" t="n">
        <f aca="false">IF(ISERROR(AVERAGE(J23:J82)),"      -",AVERAGE(J23:J82))</f>
        <v>1.875</v>
      </c>
      <c r="P8" s="355"/>
      <c r="Q8" s="280"/>
      <c r="R8" s="280"/>
      <c r="S8" s="280"/>
      <c r="T8" s="280"/>
      <c r="U8" s="280"/>
      <c r="V8" s="280"/>
      <c r="W8" s="292"/>
      <c r="X8" s="293"/>
    </row>
    <row r="9" customFormat="false" ht="13.5" hidden="false" customHeight="false" outlineLevel="0" collapsed="false">
      <c r="A9" s="313" t="s">
        <v>2634</v>
      </c>
      <c r="B9" s="356" t="n">
        <v>13.37</v>
      </c>
      <c r="C9" s="357"/>
      <c r="D9" s="358"/>
      <c r="E9" s="358"/>
      <c r="F9" s="359" t="n">
        <f aca="false">($B9*$B$7+$C9*$C$7)/100</f>
        <v>13.37</v>
      </c>
      <c r="G9" s="360"/>
      <c r="H9" s="361"/>
      <c r="I9" s="362"/>
      <c r="J9" s="363"/>
      <c r="K9" s="343"/>
      <c r="L9" s="364"/>
      <c r="M9" s="353" t="s">
        <v>2635</v>
      </c>
      <c r="N9" s="354" t="n">
        <f aca="false">IF(ISERROR(STDEVP(I23:I82)),"     -",STDEVP(I23:I82))</f>
        <v>2.11763429326218</v>
      </c>
      <c r="O9" s="354" t="n">
        <f aca="false">IF(ISERROR(STDEVP(J23:J82)),"      -",STDEVP(J23:J82))</f>
        <v>0.59947894041409</v>
      </c>
      <c r="P9" s="355"/>
      <c r="Q9" s="280"/>
      <c r="R9" s="280"/>
      <c r="S9" s="280"/>
      <c r="T9" s="280"/>
      <c r="U9" s="280"/>
      <c r="V9" s="280"/>
      <c r="W9" s="365"/>
      <c r="X9" s="366"/>
    </row>
    <row r="10" customFormat="false" ht="13.5"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10</v>
      </c>
      <c r="O10" s="376" t="n">
        <f aca="false">MIN(J23:J82)</f>
        <v>1</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17</v>
      </c>
      <c r="O11" s="376" t="n">
        <f aca="false">MAX(J23:J82)</f>
        <v>3</v>
      </c>
      <c r="P11" s="377"/>
      <c r="Q11" s="280"/>
      <c r="R11" s="280"/>
      <c r="S11" s="280"/>
      <c r="T11" s="280"/>
      <c r="U11" s="280"/>
      <c r="V11" s="280"/>
    </row>
    <row r="12" customFormat="false" ht="12.75" hidden="false" customHeight="false" outlineLevel="0" collapsed="false">
      <c r="A12" s="387" t="s">
        <v>2643</v>
      </c>
      <c r="B12" s="388" t="n">
        <v>0.025</v>
      </c>
      <c r="C12" s="389"/>
      <c r="D12" s="381"/>
      <c r="E12" s="381"/>
      <c r="F12" s="382" t="n">
        <f aca="false">($B12*$B$7+$C12*$C$7)/100</f>
        <v>0.025</v>
      </c>
      <c r="G12" s="390"/>
      <c r="H12" s="338"/>
      <c r="I12" s="391" t="s">
        <v>2644</v>
      </c>
      <c r="J12" s="391"/>
      <c r="K12" s="385" t="n">
        <f aca="false">COUNTIF($G$23:$G$82,"=ALG")</f>
        <v>2</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t="n">
        <v>13.34</v>
      </c>
      <c r="C13" s="389"/>
      <c r="D13" s="381"/>
      <c r="E13" s="381"/>
      <c r="F13" s="382" t="n">
        <f aca="false">($B13*$B$7+$C13*$C$7)/100</f>
        <v>13.34</v>
      </c>
      <c r="G13" s="390"/>
      <c r="H13" s="338"/>
      <c r="I13" s="391" t="s">
        <v>2646</v>
      </c>
      <c r="J13" s="391"/>
      <c r="K13" s="385" t="n">
        <f aca="false">COUNTIF($G$23:$G$82,"=BRm")+COUNTIF($G$23:$G$82,"=BRh")</f>
        <v>6</v>
      </c>
      <c r="L13" s="386"/>
      <c r="M13" s="397" t="s">
        <v>2647</v>
      </c>
      <c r="N13" s="398" t="n">
        <f aca="false">COUNTIF(F23:F82,"&gt;0")</f>
        <v>8</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8</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2</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5</v>
      </c>
      <c r="O16" s="409"/>
      <c r="P16" s="400"/>
      <c r="Q16" s="280"/>
      <c r="R16" s="280"/>
      <c r="S16" s="280"/>
      <c r="T16" s="280"/>
      <c r="U16" s="280"/>
      <c r="V16" s="280"/>
    </row>
    <row r="17" customFormat="false" ht="12.75" hidden="false" customHeight="false" outlineLevel="0" collapsed="false">
      <c r="A17" s="387" t="s">
        <v>2656</v>
      </c>
      <c r="B17" s="388" t="n">
        <v>13.365</v>
      </c>
      <c r="C17" s="389"/>
      <c r="D17" s="381"/>
      <c r="E17" s="381"/>
      <c r="F17" s="413"/>
      <c r="G17" s="382" t="n">
        <f aca="false">($B17*$B$7+$C17*$C$7)/100</f>
        <v>13.365</v>
      </c>
      <c r="H17" s="338"/>
      <c r="I17" s="391"/>
      <c r="J17" s="391"/>
      <c r="K17" s="412"/>
      <c r="L17" s="386"/>
      <c r="M17" s="407" t="s">
        <v>2657</v>
      </c>
      <c r="N17" s="408" t="n">
        <f aca="false">COUNTIF(J23:J82,"=3")</f>
        <v>1</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13.365</v>
      </c>
      <c r="G19" s="426" t="n">
        <f aca="false">SUM(G16:G18)</f>
        <v>13.365</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13.365</v>
      </c>
      <c r="C20" s="436" t="n">
        <f aca="false">SUM(C23:C82)</f>
        <v>0</v>
      </c>
      <c r="D20" s="437"/>
      <c r="E20" s="438" t="s">
        <v>2659</v>
      </c>
      <c r="F20" s="439" t="n">
        <f aca="false">($B20*$B$7+$C20*$C$7)/100</f>
        <v>13.365</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2662</v>
      </c>
      <c r="B21" s="449" t="n">
        <f aca="false">B20*B7/100</f>
        <v>13.365</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13.365</v>
      </c>
      <c r="G21" s="452"/>
      <c r="H21" s="381"/>
      <c r="I21" s="453"/>
      <c r="J21" s="453"/>
      <c r="K21" s="454"/>
      <c r="L21" s="454"/>
      <c r="M21" s="455"/>
      <c r="N21" s="455"/>
      <c r="O21" s="456"/>
      <c r="P21" s="457"/>
      <c r="Q21" s="458" t="s">
        <v>2663</v>
      </c>
      <c r="R21" s="280"/>
      <c r="S21" s="280"/>
      <c r="T21" s="280"/>
      <c r="U21" s="280"/>
      <c r="V21" s="280"/>
      <c r="W21" s="420"/>
    </row>
    <row r="22" customFormat="false" ht="12.75" hidden="false" customHeight="false" outlineLevel="0" collapsed="false">
      <c r="A22" s="459" t="s">
        <v>2664</v>
      </c>
      <c r="B22" s="460" t="s">
        <v>2665</v>
      </c>
      <c r="C22" s="461" t="s">
        <v>2665</v>
      </c>
      <c r="D22" s="410"/>
      <c r="E22" s="410"/>
      <c r="F22" s="462" t="s">
        <v>2666</v>
      </c>
      <c r="G22" s="463" t="s">
        <v>37</v>
      </c>
      <c r="H22" s="410"/>
      <c r="I22" s="464" t="s">
        <v>2667</v>
      </c>
      <c r="J22" s="464" t="s">
        <v>2668</v>
      </c>
      <c r="K22" s="465" t="s">
        <v>2669</v>
      </c>
      <c r="L22" s="465"/>
      <c r="M22" s="465"/>
      <c r="N22" s="465"/>
      <c r="O22" s="465"/>
      <c r="P22" s="466" t="s">
        <v>2670</v>
      </c>
      <c r="Q22" s="467" t="s">
        <v>2671</v>
      </c>
      <c r="R22" s="468" t="s">
        <v>2672</v>
      </c>
      <c r="S22" s="469" t="s">
        <v>2673</v>
      </c>
      <c r="T22" s="470" t="s">
        <v>2674</v>
      </c>
      <c r="U22" s="471" t="s">
        <v>2675</v>
      </c>
      <c r="V22" s="469" t="s">
        <v>2676</v>
      </c>
      <c r="Y22" s="280" t="s">
        <v>2677</v>
      </c>
      <c r="Z22" s="280" t="s">
        <v>2678</v>
      </c>
      <c r="AA22" s="472" t="s">
        <v>2679</v>
      </c>
      <c r="AB22" s="472" t="s">
        <v>2680</v>
      </c>
      <c r="AC22" s="473" t="s">
        <v>2681</v>
      </c>
    </row>
    <row r="23" customFormat="false" ht="12.75" hidden="false" customHeight="false" outlineLevel="0" collapsed="false">
      <c r="A23" s="474" t="s">
        <v>154</v>
      </c>
      <c r="B23" s="475" t="n">
        <v>0.02</v>
      </c>
      <c r="C23" s="476"/>
      <c r="D23" s="477" t="str">
        <f aca="false">IF(ISERROR(VLOOKUP($A23,'liste reference'!$A$7:$D$904,2,0)),IF(ISERROR(VLOOKUP($A23,'liste reference'!$B$7:$D$904,1,0)),"",VLOOKUP($A23,'liste reference'!$B$7:$D$904,1,0)),VLOOKUP($A23,'liste reference'!$A$7:$D$904,2,0))</f>
        <v>Lemanea sp.</v>
      </c>
      <c r="E23" s="477" t="e">
        <f aca="false">IF(D23="",0,VLOOKUP(D23,D$22:D22,1,0))</f>
        <v>#N/A</v>
      </c>
      <c r="F23" s="478" t="n">
        <f aca="false">($B23*$B$7+$C23*$C$7)/100</f>
        <v>0.02</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15</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Lemanea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1159</v>
      </c>
      <c r="Q23" s="486" t="n">
        <f aca="false">IF(ISTEXT(H23),"",(B23*$B$7/100)+(C23*$C$7/100))</f>
        <v>0.02</v>
      </c>
      <c r="R23" s="487" t="n">
        <f aca="false">IF(OR(ISTEXT(H23),Q23=0),"",IF(Q23&lt;0.1,1,IF(Q23&lt;1,2,IF(Q23&lt;10,3,IF(Q23&lt;50,4,IF(Q23&gt;=50,5,""))))))</f>
        <v>1</v>
      </c>
      <c r="S23" s="487" t="n">
        <f aca="false">IF(ISERROR(R23*I23),0,R23*I23)</f>
        <v>15</v>
      </c>
      <c r="T23" s="487" t="n">
        <f aca="false">IF(ISERROR(R23*I23*J23),0,R23*I23*J23)</f>
        <v>30</v>
      </c>
      <c r="U23" s="487" t="n">
        <f aca="false">IF(ISERROR(R23*J23),0,R23*J23)</f>
        <v>2</v>
      </c>
      <c r="V23" s="488" t="str">
        <f aca="false">IF(AND(A23="",F23=0),"",IF(F23=0,"Il manque le(s) % de rec. !",""))</f>
        <v/>
      </c>
      <c r="W23" s="489"/>
      <c r="Y23" s="490" t="str">
        <f aca="false">IF(A23="new.cod","NEWCOD",IF(AND((Z23=""),ISTEXT(A23)),A23,IF(Z23="","",INDEX('liste reference'!$A$8:$A$904,Z23))))</f>
        <v>LEASPX</v>
      </c>
      <c r="Z23" s="280" t="n">
        <f aca="false">IF(ISERROR(MATCH(A23,'liste reference'!$A$8:$A$904,0)),IF(ISERROR(MATCH(A23,'liste reference'!$B$8:$B$904,0)),"",(MATCH(A23,'liste reference'!$B$8:$B$904,0))),(MATCH(A23,'liste reference'!$A$8:$A$904,0)))</f>
        <v>34</v>
      </c>
      <c r="AA23" s="491"/>
      <c r="AB23" s="492"/>
      <c r="AC23" s="492"/>
      <c r="BB23" s="280" t="n">
        <f aca="false">IF(A23="","",1)</f>
        <v>1</v>
      </c>
    </row>
    <row r="24" customFormat="false" ht="12.75" hidden="false" customHeight="false" outlineLevel="0" collapsed="false">
      <c r="A24" s="493" t="s">
        <v>228</v>
      </c>
      <c r="B24" s="494" t="n">
        <v>0.005</v>
      </c>
      <c r="C24" s="495"/>
      <c r="D24" s="477" t="str">
        <f aca="false">IF(ISERROR(VLOOKUP($A24,'liste reference'!$A$7:$D$904,2,0)),IF(ISERROR(VLOOKUP($A24,'liste reference'!$B$7:$D$904,1,0)),"",VLOOKUP($A24,'liste reference'!$B$7:$D$904,1,0)),VLOOKUP($A24,'liste reference'!$A$7:$D$904,2,0))</f>
        <v>Phormidium sp.</v>
      </c>
      <c r="E24" s="496" t="e">
        <f aca="false">IF(D24="",0,VLOOKUP(D24,D$22:D23,1,0))</f>
        <v>#N/A</v>
      </c>
      <c r="F24" s="497" t="n">
        <f aca="false">($B24*$B$7+$C24*$C$7)/100</f>
        <v>0.005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13</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Phormidium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6414</v>
      </c>
      <c r="Q24" s="486" t="n">
        <f aca="false">IF(ISTEXT(H24),"",(B24*$B$7/100)+(C24*$C$7/100))</f>
        <v>0.005</v>
      </c>
      <c r="R24" s="487" t="n">
        <f aca="false">IF(OR(ISTEXT(H24),Q24=0),"",IF(Q24&lt;0.1,1,IF(Q24&lt;1,2,IF(Q24&lt;10,3,IF(Q24&lt;50,4,IF(Q24&gt;=50,5,""))))))</f>
        <v>1</v>
      </c>
      <c r="S24" s="487" t="n">
        <f aca="false">IF(ISERROR(R24*I24),0,R24*I24)</f>
        <v>13</v>
      </c>
      <c r="T24" s="487" t="n">
        <f aca="false">IF(ISERROR(R24*I24*J24),0,R24*I24*J24)</f>
        <v>26</v>
      </c>
      <c r="U24" s="499" t="n">
        <f aca="false">IF(ISERROR(R24*J24),0,R24*J24)</f>
        <v>2</v>
      </c>
      <c r="V24" s="488" t="str">
        <f aca="false">IF(AND(A24="",F24=0),"",IF(F24=0,"Il manque le(s) % de rec. !",""))</f>
        <v/>
      </c>
      <c r="W24" s="489"/>
      <c r="Y24" s="490" t="str">
        <f aca="false">IF(A24="new.cod","NEWCOD",IF(AND((Z24=""),ISTEXT(A24)),A24,IF(Z24="","",INDEX('liste reference'!$A$8:$A$904,Z24))))</f>
        <v>PHOSPX</v>
      </c>
      <c r="Z24" s="280" t="n">
        <f aca="false">IF(ISERROR(MATCH(A24,'liste reference'!$A$8:$A$904,0)),IF(ISERROR(MATCH(A24,'liste reference'!$B$8:$B$904,0)),"",(MATCH(A24,'liste reference'!$B$8:$B$904,0))),(MATCH(A24,'liste reference'!$A$8:$A$904,0)))</f>
        <v>57</v>
      </c>
      <c r="AA24" s="491"/>
      <c r="AB24" s="492"/>
      <c r="AC24" s="492"/>
      <c r="BB24" s="280" t="n">
        <f aca="false">IF(A24="","",1)</f>
        <v>1</v>
      </c>
    </row>
    <row r="25" customFormat="false" ht="12.75" hidden="false" customHeight="false" outlineLevel="0" collapsed="false">
      <c r="A25" s="493" t="s">
        <v>359</v>
      </c>
      <c r="B25" s="494" t="n">
        <v>0.2</v>
      </c>
      <c r="C25" s="495"/>
      <c r="D25" s="477" t="str">
        <f aca="false">IF(ISERROR(VLOOKUP($A25,'liste reference'!$A$7:$D$904,2,0)),IF(ISERROR(VLOOKUP($A25,'liste reference'!$B$7:$D$904,1,0)),"",VLOOKUP($A25,'liste reference'!$B$7:$D$904,1,0)),VLOOKUP($A25,'liste reference'!$A$7:$D$904,2,0))</f>
        <v>Chiloscyphus polyanthos</v>
      </c>
      <c r="E25" s="496" t="e">
        <f aca="false">IF(D25="",0,VLOOKUP(D25,D$22:D24,1,0))</f>
        <v>#N/A</v>
      </c>
      <c r="F25" s="497" t="n">
        <f aca="false">($B25*$B$7+$C25*$C$7)/100</f>
        <v>0.2</v>
      </c>
      <c r="G25" s="479" t="str">
        <f aca="false">IF(A25="","",IF(ISERROR(VLOOKUP($A25,'liste reference'!$A$7:$P$904,13,0)),IF(ISERROR(VLOOKUP($A25,'liste reference'!$B$7:$P$904,12,0)),"    -",VLOOKUP($A25,'liste reference'!$B$7:$P$904,12,0)),VLOOKUP($A25,'liste reference'!$A$7:$P$904,13,0)))</f>
        <v>BRh</v>
      </c>
      <c r="H25" s="480" t="n">
        <f aca="false">IF(A25="","x",IF(ISERROR(VLOOKUP($A25,'liste reference'!$A$8:$P$904,14,0)),IF(ISERROR(VLOOKUP($A25,'liste reference'!$B$8:$P$904,13,0)),"x",VLOOKUP($A25,'liste reference'!$B$8:$P$904,13,0)),VLOOKUP($A25,'liste reference'!$A$8:$P$904,14,0)))</f>
        <v>4</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Chiloscyphus polyanthos</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1186</v>
      </c>
      <c r="Q25" s="486" t="n">
        <f aca="false">IF(ISTEXT(H25),"",(B25*$B$7/100)+(C25*$C$7/100))</f>
        <v>0.2</v>
      </c>
      <c r="R25" s="487" t="n">
        <f aca="false">IF(OR(ISTEXT(H25),Q25=0),"",IF(Q25&lt;0.1,1,IF(Q25&lt;1,2,IF(Q25&lt;10,3,IF(Q25&lt;50,4,IF(Q25&gt;=50,5,""))))))</f>
        <v>2</v>
      </c>
      <c r="S25" s="487" t="n">
        <f aca="false">IF(ISERROR(R25*I25),0,R25*I25)</f>
        <v>30</v>
      </c>
      <c r="T25" s="487" t="n">
        <f aca="false">IF(ISERROR(R25*I25*J25),0,R25*I25*J25)</f>
        <v>60</v>
      </c>
      <c r="U25" s="499" t="n">
        <f aca="false">IF(ISERROR(R25*J25),0,R25*J25)</f>
        <v>4</v>
      </c>
      <c r="V25" s="488" t="str">
        <f aca="false">IF(AND(A25="",F25=0),"",IF(F25=0,"Il manque le(s) % de rec. !",""))</f>
        <v/>
      </c>
      <c r="W25" s="500"/>
      <c r="Y25" s="490" t="str">
        <f aca="false">IF(A25="new.cod","NEWCOD",IF(AND((Z25=""),ISTEXT(A25)),A25,IF(Z25="","",INDEX('liste reference'!$A$8:$A$904,Z25))))</f>
        <v>CHIPOL</v>
      </c>
      <c r="Z25" s="280" t="n">
        <f aca="false">IF(ISERROR(MATCH(A25,'liste reference'!$A$8:$A$904,0)),IF(ISERROR(MATCH(A25,'liste reference'!$B$8:$B$904,0)),"",(MATCH(A25,'liste reference'!$B$8:$B$904,0))),(MATCH(A25,'liste reference'!$A$8:$A$904,0)))</f>
        <v>97</v>
      </c>
      <c r="AA25" s="491"/>
      <c r="AB25" s="492"/>
      <c r="AC25" s="492"/>
      <c r="BB25" s="280" t="n">
        <f aca="false">IF(A25="","",1)</f>
        <v>1</v>
      </c>
    </row>
    <row r="26" customFormat="false" ht="12.75" hidden="false" customHeight="false" outlineLevel="0" collapsed="false">
      <c r="A26" s="493" t="s">
        <v>626</v>
      </c>
      <c r="B26" s="494" t="n">
        <v>0.04</v>
      </c>
      <c r="C26" s="495"/>
      <c r="D26" s="477" t="str">
        <f aca="false">IF(ISERROR(VLOOKUP($A26,'liste reference'!$A$7:$D$904,2,0)),IF(ISERROR(VLOOKUP($A26,'liste reference'!$B$7:$D$904,1,0)),"",VLOOKUP($A26,'liste reference'!$B$7:$D$904,1,0)),VLOOKUP($A26,'liste reference'!$A$7:$D$904,2,0))</f>
        <v>Scapania undulata</v>
      </c>
      <c r="E26" s="496" t="e">
        <f aca="false">IF(D26="",0,VLOOKUP(D26,D$22:D25,1,0))</f>
        <v>#N/A</v>
      </c>
      <c r="F26" s="497" t="n">
        <f aca="false">($B26*$B$7+$C26*$C$7)/100</f>
        <v>0.04</v>
      </c>
      <c r="G26" s="479" t="str">
        <f aca="false">IF(A26="","",IF(ISERROR(VLOOKUP($A26,'liste reference'!$A$7:$P$904,13,0)),IF(ISERROR(VLOOKUP($A26,'liste reference'!$B$7:$P$904,12,0)),"    -",VLOOKUP($A26,'liste reference'!$B$7:$P$904,12,0)),VLOOKUP($A26,'liste reference'!$A$7:$P$904,13,0)))</f>
        <v>BRh</v>
      </c>
      <c r="H26" s="480" t="n">
        <f aca="false">IF(A26="","x",IF(ISERROR(VLOOKUP($A26,'liste reference'!$A$8:$P$904,14,0)),IF(ISERROR(VLOOKUP($A26,'liste reference'!$B$8:$P$904,13,0)),"x",VLOOKUP($A26,'liste reference'!$B$8:$P$904,13,0)),VLOOKUP($A26,'liste reference'!$A$8:$P$904,14,0)))</f>
        <v>4</v>
      </c>
      <c r="I26" s="481" t="n">
        <f aca="false">IF(ISNUMBER(H26),IF(ISERROR(VLOOKUP($A26,'liste reference'!$A$7:$P$904,3,0)),IF(ISERROR(VLOOKUP($A26,'liste reference'!$B$7:$P$904,2,0)),"",VLOOKUP($A26,'liste reference'!$B$7:$P$904,2,0)),VLOOKUP($A26,'liste reference'!$A$7:$P$904,3,0)),"")</f>
        <v>17</v>
      </c>
      <c r="J26" s="481" t="n">
        <f aca="false">IF(ISNUMBER(H26),IF(ISERROR(VLOOKUP($A26,'liste reference'!$A$7:$P$904,4,0)),IF(ISERROR(VLOOKUP($A26,'liste reference'!$B$7:$P$904,3,0)),"",VLOOKUP($A26,'liste reference'!$B$7:$P$904,3,0)),VLOOKUP($A26,'liste reference'!$A$7:$P$904,4,0)),"")</f>
        <v>3</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Scapania undulata</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1213</v>
      </c>
      <c r="Q26" s="486" t="n">
        <f aca="false">IF(ISTEXT(H26),"",(B26*$B$7/100)+(C26*$C$7/100))</f>
        <v>0.04</v>
      </c>
      <c r="R26" s="487" t="n">
        <f aca="false">IF(OR(ISTEXT(H26),Q26=0),"",IF(Q26&lt;0.1,1,IF(Q26&lt;1,2,IF(Q26&lt;10,3,IF(Q26&lt;50,4,IF(Q26&gt;=50,5,""))))))</f>
        <v>1</v>
      </c>
      <c r="S26" s="487" t="n">
        <f aca="false">IF(ISERROR(R26*I26),0,R26*I26)</f>
        <v>17</v>
      </c>
      <c r="T26" s="487" t="n">
        <f aca="false">IF(ISERROR(R26*I26*J26),0,R26*I26*J26)</f>
        <v>51</v>
      </c>
      <c r="U26" s="499" t="n">
        <f aca="false">IF(ISERROR(R26*J26),0,R26*J26)</f>
        <v>3</v>
      </c>
      <c r="V26" s="488" t="str">
        <f aca="false">IF(AND(A26="",F26=0),"",IF(F26=0,"Il manque le(s) % de rec. !",""))</f>
        <v/>
      </c>
      <c r="W26" s="489"/>
      <c r="Y26" s="490" t="str">
        <f aca="false">IF(A26="new.cod","NEWCOD",IF(AND((Z26=""),ISTEXT(A26)),A26,IF(Z26="","",INDEX('liste reference'!$A$8:$A$904,Z26))))</f>
        <v>SCAUND</v>
      </c>
      <c r="Z26" s="280" t="n">
        <f aca="false">IF(ISERROR(MATCH(A26,'liste reference'!$A$8:$A$904,0)),IF(ISERROR(MATCH(A26,'liste reference'!$B$8:$B$904,0)),"",(MATCH(A26,'liste reference'!$B$8:$B$904,0))),(MATCH(A26,'liste reference'!$A$8:$A$904,0)))</f>
        <v>144</v>
      </c>
      <c r="AA26" s="491"/>
      <c r="AB26" s="492"/>
      <c r="AC26" s="492"/>
      <c r="BB26" s="280" t="n">
        <f aca="false">IF(A26="","",1)</f>
        <v>1</v>
      </c>
    </row>
    <row r="27" customFormat="false" ht="12.75" hidden="false" customHeight="false" outlineLevel="0" collapsed="false">
      <c r="A27" s="493" t="s">
        <v>670</v>
      </c>
      <c r="B27" s="494" t="n">
        <v>6</v>
      </c>
      <c r="C27" s="495"/>
      <c r="D27" s="477" t="str">
        <f aca="false">IF(ISERROR(VLOOKUP($A27,'liste reference'!$A$7:$D$904,2,0)),IF(ISERROR(VLOOKUP($A27,'liste reference'!$B$7:$D$904,1,0)),"",VLOOKUP($A27,'liste reference'!$B$7:$D$904,1,0)),VLOOKUP($A27,'liste reference'!$A$7:$D$904,2,0))</f>
        <v>Brachythecium rivulare</v>
      </c>
      <c r="E27" s="496" t="e">
        <f aca="false">IF(D27="",0,VLOOKUP(D27,D$22:D26,1,0))</f>
        <v>#N/A</v>
      </c>
      <c r="F27" s="497" t="n">
        <f aca="false">($B27*$B$7+$C27*$C$7)/100</f>
        <v>6</v>
      </c>
      <c r="G27" s="479" t="str">
        <f aca="false">IF(A27="","",IF(ISERROR(VLOOKUP($A27,'liste reference'!$A$7:$P$904,13,0)),IF(ISERROR(VLOOKUP($A27,'liste reference'!$B$7:$P$904,12,0)),"    -",VLOOKUP($A27,'liste reference'!$B$7:$P$904,12,0)),VLOOKUP($A27,'liste reference'!$A$7:$P$904,13,0)))</f>
        <v>BRm</v>
      </c>
      <c r="H27" s="480" t="n">
        <f aca="false">IF(A27="","x",IF(ISERROR(VLOOKUP($A27,'liste reference'!$A$8:$P$904,14,0)),IF(ISERROR(VLOOKUP($A27,'liste reference'!$B$8:$P$904,13,0)),"x",VLOOKUP($A27,'liste reference'!$B$8:$P$904,13,0)),VLOOKUP($A27,'liste reference'!$A$8:$P$904,14,0)))</f>
        <v>5</v>
      </c>
      <c r="I27" s="481" t="n">
        <f aca="false">IF(ISNUMBER(H27),IF(ISERROR(VLOOKUP($A27,'liste reference'!$A$7:$P$904,3,0)),IF(ISERROR(VLOOKUP($A27,'liste reference'!$B$7:$P$904,2,0)),"",VLOOKUP($A27,'liste reference'!$B$7:$P$904,2,0)),VLOOKUP($A27,'liste reference'!$A$7:$P$904,3,0)),"")</f>
        <v>15</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Brachythecium rivulare</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1260</v>
      </c>
      <c r="Q27" s="486" t="n">
        <f aca="false">IF(ISTEXT(H27),"",(B27*$B$7/100)+(C27*$C$7/100))</f>
        <v>6</v>
      </c>
      <c r="R27" s="487" t="n">
        <f aca="false">IF(OR(ISTEXT(H27),Q27=0),"",IF(Q27&lt;0.1,1,IF(Q27&lt;1,2,IF(Q27&lt;10,3,IF(Q27&lt;50,4,IF(Q27&gt;=50,5,""))))))</f>
        <v>3</v>
      </c>
      <c r="S27" s="487" t="n">
        <f aca="false">IF(ISERROR(R27*I27),0,R27*I27)</f>
        <v>45</v>
      </c>
      <c r="T27" s="487" t="n">
        <f aca="false">IF(ISERROR(R27*I27*J27),0,R27*I27*J27)</f>
        <v>90</v>
      </c>
      <c r="U27" s="499" t="n">
        <f aca="false">IF(ISERROR(R27*J27),0,R27*J27)</f>
        <v>6</v>
      </c>
      <c r="V27" s="488" t="str">
        <f aca="false">IF(AND(A27="",F27=0),"",IF(F27=0,"Il manque le(s) % de rec. !",""))</f>
        <v/>
      </c>
      <c r="W27" s="489"/>
      <c r="Y27" s="490" t="str">
        <f aca="false">IF(A27="new.cod","NEWCOD",IF(AND((Z27=""),ISTEXT(A27)),A27,IF(Z27="","",INDEX('liste reference'!$A$8:$A$904,Z27))))</f>
        <v>BRARIV</v>
      </c>
      <c r="Z27" s="280" t="n">
        <f aca="false">IF(ISERROR(MATCH(A27,'liste reference'!$A$8:$A$904,0)),IF(ISERROR(MATCH(A27,'liste reference'!$B$8:$B$904,0)),"",(MATCH(A27,'liste reference'!$B$8:$B$904,0))),(MATCH(A27,'liste reference'!$A$8:$A$904,0)))</f>
        <v>155</v>
      </c>
      <c r="AA27" s="491"/>
      <c r="AB27" s="492"/>
      <c r="AC27" s="492"/>
      <c r="BB27" s="280" t="n">
        <f aca="false">IF(A27="","",1)</f>
        <v>1</v>
      </c>
    </row>
    <row r="28" customFormat="false" ht="12.75" hidden="false" customHeight="false" outlineLevel="0" collapsed="false">
      <c r="A28" s="493" t="s">
        <v>852</v>
      </c>
      <c r="B28" s="494" t="n">
        <v>0.1</v>
      </c>
      <c r="C28" s="495"/>
      <c r="D28" s="477" t="str">
        <f aca="false">IF(ISERROR(VLOOKUP($A28,'liste reference'!$A$7:$D$904,2,0)),IF(ISERROR(VLOOKUP($A28,'liste reference'!$B$7:$D$904,1,0)),"",VLOOKUP($A28,'liste reference'!$B$7:$D$904,1,0)),VLOOKUP($A28,'liste reference'!$A$7:$D$904,2,0))</f>
        <v>Fissidens crassipes</v>
      </c>
      <c r="E28" s="496" t="e">
        <f aca="false">IF(D28="",0,VLOOKUP(D28,D$22:D27,1,0))</f>
        <v>#N/A</v>
      </c>
      <c r="F28" s="497" t="n">
        <f aca="false">($B28*$B$7+$C28*$C$7)/100</f>
        <v>0.1</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12</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Fissidens crassipes</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1294</v>
      </c>
      <c r="Q28" s="486" t="n">
        <f aca="false">IF(ISTEXT(H28),"",(B28*$B$7/100)+(C28*$C$7/100))</f>
        <v>0.1</v>
      </c>
      <c r="R28" s="487" t="n">
        <f aca="false">IF(OR(ISTEXT(H28),Q28=0),"",IF(Q28&lt;0.1,1,IF(Q28&lt;1,2,IF(Q28&lt;10,3,IF(Q28&lt;50,4,IF(Q28&gt;=50,5,""))))))</f>
        <v>2</v>
      </c>
      <c r="S28" s="487" t="n">
        <f aca="false">IF(ISERROR(R28*I28),0,R28*I28)</f>
        <v>24</v>
      </c>
      <c r="T28" s="487" t="n">
        <f aca="false">IF(ISERROR(R28*I28*J28),0,R28*I28*J28)</f>
        <v>48</v>
      </c>
      <c r="U28" s="499" t="n">
        <f aca="false">IF(ISERROR(R28*J28),0,R28*J28)</f>
        <v>4</v>
      </c>
      <c r="V28" s="488" t="str">
        <f aca="false">IF(AND(A28="",F28=0),"",IF(F28=0,"Il manque le(s) % de rec. !",""))</f>
        <v/>
      </c>
      <c r="W28" s="489"/>
      <c r="Y28" s="490" t="str">
        <f aca="false">IF(A28="new.cod","NEWCOD",IF(AND((Z28=""),ISTEXT(A28)),A28,IF(Z28="","",INDEX('liste reference'!$A$8:$A$904,Z28))))</f>
        <v>FISCRA</v>
      </c>
      <c r="Z28" s="280" t="n">
        <f aca="false">IF(ISERROR(MATCH(A28,'liste reference'!$A$8:$A$904,0)),IF(ISERROR(MATCH(A28,'liste reference'!$B$8:$B$904,0)),"",(MATCH(A28,'liste reference'!$B$8:$B$904,0))),(MATCH(A28,'liste reference'!$A$8:$A$904,0)))</f>
        <v>197</v>
      </c>
      <c r="AA28" s="491"/>
      <c r="AB28" s="492"/>
      <c r="AC28" s="492"/>
      <c r="BB28" s="280" t="n">
        <f aca="false">IF(A28="","",1)</f>
        <v>1</v>
      </c>
    </row>
    <row r="29" customFormat="false" ht="12.75" hidden="false" customHeight="false" outlineLevel="0" collapsed="false">
      <c r="A29" s="493" t="s">
        <v>896</v>
      </c>
      <c r="B29" s="494" t="n">
        <v>4</v>
      </c>
      <c r="C29" s="495"/>
      <c r="D29" s="477" t="str">
        <f aca="false">IF(ISERROR(VLOOKUP($A29,'liste reference'!$A$7:$D$904,2,0)),IF(ISERROR(VLOOKUP($A29,'liste reference'!$B$7:$D$904,1,0)),"",VLOOKUP($A29,'liste reference'!$B$7:$D$904,1,0)),VLOOKUP($A29,'liste reference'!$A$7:$D$904,2,0))</f>
        <v>Fontinalis antipyretica</v>
      </c>
      <c r="E29" s="496" t="e">
        <f aca="false">IF(D29="",0,VLOOKUP(D29,D$22:D28,1,0))</f>
        <v>#N/A</v>
      </c>
      <c r="F29" s="497" t="n">
        <f aca="false">($B29*$B$7+$C29*$C$7)/100</f>
        <v>4</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Fontinalis antipyretica</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1310</v>
      </c>
      <c r="Q29" s="486" t="n">
        <f aca="false">IF(ISTEXT(H29),"",(B29*$B$7/100)+(C29*$C$7/100))</f>
        <v>4</v>
      </c>
      <c r="R29" s="487" t="n">
        <f aca="false">IF(OR(ISTEXT(H29),Q29=0),"",IF(Q29&lt;0.1,1,IF(Q29&lt;1,2,IF(Q29&lt;10,3,IF(Q29&lt;50,4,IF(Q29&gt;=50,5,""))))))</f>
        <v>3</v>
      </c>
      <c r="S29" s="487" t="n">
        <f aca="false">IF(ISERROR(R29*I29),0,R29*I29)</f>
        <v>30</v>
      </c>
      <c r="T29" s="487" t="n">
        <f aca="false">IF(ISERROR(R29*I29*J29),0,R29*I29*J29)</f>
        <v>30</v>
      </c>
      <c r="U29" s="499" t="n">
        <f aca="false">IF(ISERROR(R29*J29),0,R29*J29)</f>
        <v>3</v>
      </c>
      <c r="V29" s="488" t="str">
        <f aca="false">IF(AND(A29="",F29=0),"",IF(F29=0,"Il manque le(s) % de rec. !",""))</f>
        <v/>
      </c>
      <c r="W29" s="489"/>
      <c r="Y29" s="490" t="str">
        <f aca="false">IF(A29="new.cod","NEWCOD",IF(AND((Z29=""),ISTEXT(A29)),A29,IF(Z29="","",INDEX('liste reference'!$A$8:$A$904,Z29))))</f>
        <v>FONANT</v>
      </c>
      <c r="Z29" s="280" t="n">
        <f aca="false">IF(ISERROR(MATCH(A29,'liste reference'!$A$8:$A$904,0)),IF(ISERROR(MATCH(A29,'liste reference'!$B$8:$B$904,0)),"",(MATCH(A29,'liste reference'!$B$8:$B$904,0))),(MATCH(A29,'liste reference'!$A$8:$A$904,0)))</f>
        <v>210</v>
      </c>
      <c r="AA29" s="491"/>
      <c r="AB29" s="492"/>
      <c r="AC29" s="492"/>
      <c r="BB29" s="280" t="n">
        <f aca="false">IF(A29="","",1)</f>
        <v>1</v>
      </c>
    </row>
    <row r="30" customFormat="false" ht="12.75" hidden="false" customHeight="false" outlineLevel="0" collapsed="false">
      <c r="A30" s="493" t="s">
        <v>1054</v>
      </c>
      <c r="B30" s="494" t="n">
        <v>3</v>
      </c>
      <c r="C30" s="495"/>
      <c r="D30" s="477" t="str">
        <f aca="false">IF(ISERROR(VLOOKUP($A30,'liste reference'!$A$7:$D$904,2,0)),IF(ISERROR(VLOOKUP($A30,'liste reference'!$B$7:$D$904,1,0)),"",VLOOKUP($A30,'liste reference'!$B$7:$D$904,1,0)),VLOOKUP($A30,'liste reference'!$A$7:$D$904,2,0))</f>
        <v>Rhynchostegium riparioides</v>
      </c>
      <c r="E30" s="496" t="e">
        <f aca="false">IF(D30="",0,VLOOKUP(D30,D$22:D29,1,0))</f>
        <v>#N/A</v>
      </c>
      <c r="F30" s="497" t="n">
        <f aca="false">($B30*$B$7+$C30*$C$7)/100</f>
        <v>3</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12</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Rhynchostegium riparioides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1268</v>
      </c>
      <c r="Q30" s="486" t="n">
        <f aca="false">IF(ISTEXT(H30),"",(B30*$B$7/100)+(C30*$C$7/100))</f>
        <v>3</v>
      </c>
      <c r="R30" s="487" t="n">
        <f aca="false">IF(OR(ISTEXT(H30),Q30=0),"",IF(Q30&lt;0.1,1,IF(Q30&lt;1,2,IF(Q30&lt;10,3,IF(Q30&lt;50,4,IF(Q30&gt;=50,5,""))))))</f>
        <v>3</v>
      </c>
      <c r="S30" s="487" t="n">
        <f aca="false">IF(ISERROR(R30*I30),0,R30*I30)</f>
        <v>36</v>
      </c>
      <c r="T30" s="487" t="n">
        <f aca="false">IF(ISERROR(R30*I30*J30),0,R30*I30*J30)</f>
        <v>36</v>
      </c>
      <c r="U30" s="499" t="n">
        <f aca="false">IF(ISERROR(R30*J30),0,R30*J30)</f>
        <v>3</v>
      </c>
      <c r="V30" s="488" t="str">
        <f aca="false">IF(AND(A30="",F30=0),"",IF(F30=0,"Il manque le(s) % de rec. !",""))</f>
        <v/>
      </c>
      <c r="W30" s="489"/>
      <c r="Y30" s="490" t="str">
        <f aca="false">IF(A30="new.cod","NEWCOD",IF(AND((Z30=""),ISTEXT(A30)),A30,IF(Z30="","",INDEX('liste reference'!$A$8:$A$904,Z30))))</f>
        <v>RHYRIP</v>
      </c>
      <c r="Z30" s="280" t="n">
        <f aca="false">IF(ISERROR(MATCH(A30,'liste reference'!$A$8:$A$904,0)),IF(ISERROR(MATCH(A30,'liste reference'!$B$8:$B$904,0)),"",(MATCH(A30,'liste reference'!$B$8:$B$904,0))),(MATCH(A30,'liste reference'!$A$8:$A$904,0)))</f>
        <v>252</v>
      </c>
      <c r="AA30" s="491"/>
      <c r="AB30" s="492"/>
      <c r="AC30" s="492"/>
      <c r="BB30" s="280" t="n">
        <f aca="false">IF(A30="","",1)</f>
        <v>1</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X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2682</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Rieutord</v>
      </c>
      <c r="B84" s="529" t="str">
        <f aca="false">C3</f>
        <v>La Bastide-Esparbairenque</v>
      </c>
      <c r="C84" s="530" t="n">
        <f aca="false">A4</f>
        <v>41821</v>
      </c>
      <c r="D84" s="531" t="n">
        <f aca="false">IF(ISERROR(SUM($T$23:$T$82)/SUM($U$23:$U$82)),"",SUM($T$23:$T$82)/SUM($U$23:$U$82))</f>
        <v>13.7407407407407</v>
      </c>
      <c r="E84" s="532" t="n">
        <f aca="false">N13</f>
        <v>8</v>
      </c>
      <c r="F84" s="529" t="n">
        <f aca="false">N14</f>
        <v>8</v>
      </c>
      <c r="G84" s="529" t="n">
        <f aca="false">N15</f>
        <v>2</v>
      </c>
      <c r="H84" s="529" t="n">
        <f aca="false">N16</f>
        <v>5</v>
      </c>
      <c r="I84" s="529" t="n">
        <f aca="false">N17</f>
        <v>1</v>
      </c>
      <c r="J84" s="533" t="n">
        <f aca="false">N8</f>
        <v>13.625</v>
      </c>
      <c r="K84" s="531" t="n">
        <f aca="false">N9</f>
        <v>2.11763429326218</v>
      </c>
      <c r="L84" s="532" t="n">
        <f aca="false">N10</f>
        <v>10</v>
      </c>
      <c r="M84" s="532" t="n">
        <f aca="false">N11</f>
        <v>17</v>
      </c>
      <c r="N84" s="531" t="n">
        <f aca="false">O8</f>
        <v>1.875</v>
      </c>
      <c r="O84" s="531" t="n">
        <f aca="false">O9</f>
        <v>0.59947894041409</v>
      </c>
      <c r="P84" s="532" t="n">
        <f aca="false">O10</f>
        <v>1</v>
      </c>
      <c r="Q84" s="532" t="n">
        <f aca="false">O11</f>
        <v>3</v>
      </c>
      <c r="R84" s="532" t="n">
        <f aca="false">F21</f>
        <v>13.365</v>
      </c>
      <c r="S84" s="532" t="n">
        <f aca="false">K11</f>
        <v>0</v>
      </c>
      <c r="T84" s="532" t="n">
        <f aca="false">K12</f>
        <v>2</v>
      </c>
      <c r="U84" s="532" t="n">
        <f aca="false">K13</f>
        <v>6</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2683</v>
      </c>
      <c r="R86" s="280"/>
      <c r="S86" s="488"/>
      <c r="T86" s="280"/>
      <c r="U86" s="280"/>
      <c r="V86" s="280"/>
    </row>
    <row r="87" customFormat="false" ht="12.75" hidden="true" customHeight="false" outlineLevel="0" collapsed="false">
      <c r="P87" s="280"/>
      <c r="Q87" s="280" t="s">
        <v>2684</v>
      </c>
      <c r="R87" s="280"/>
      <c r="S87" s="488" t="n">
        <f aca="false">VLOOKUP(MAX($S$23:$S$82),($S$23:$U$82),1,0)</f>
        <v>45</v>
      </c>
      <c r="T87" s="280"/>
      <c r="U87" s="280"/>
      <c r="V87" s="280"/>
    </row>
    <row r="88" customFormat="false" ht="12.75" hidden="true" customHeight="false" outlineLevel="0" collapsed="false">
      <c r="P88" s="280"/>
      <c r="Q88" s="280" t="s">
        <v>2685</v>
      </c>
      <c r="R88" s="280"/>
      <c r="S88" s="488" t="n">
        <f aca="false">VLOOKUP((S87),($S$23:$U$82),2,0)</f>
        <v>90</v>
      </c>
      <c r="T88" s="280"/>
      <c r="U88" s="280"/>
      <c r="V88" s="280"/>
    </row>
    <row r="89" customFormat="false" ht="12.75" hidden="true" customHeight="false" outlineLevel="0" collapsed="false">
      <c r="Q89" s="280" t="s">
        <v>2686</v>
      </c>
      <c r="R89" s="280"/>
      <c r="S89" s="488" t="n">
        <f aca="false">VLOOKUP((S87),($S$23:$U$82),3,0)</f>
        <v>6</v>
      </c>
      <c r="T89" s="280"/>
    </row>
    <row r="90" customFormat="false" ht="12.75" hidden="false" customHeight="false" outlineLevel="0" collapsed="false">
      <c r="Q90" s="280" t="s">
        <v>2687</v>
      </c>
      <c r="R90" s="280"/>
      <c r="S90" s="538" t="n">
        <f aca="false">IF(ISERROR(SUM($T$23:$T$82)/SUM($U$23:$U$82)),"",(SUM($T$23:$T$82)-S88)/(SUM($U$23:$U$82)-S89))</f>
        <v>13.3809523809524</v>
      </c>
      <c r="T90" s="280"/>
    </row>
    <row r="91" customFormat="false" ht="12.75" hidden="false" customHeight="false" outlineLevel="0" collapsed="false">
      <c r="Q91" s="487" t="s">
        <v>2688</v>
      </c>
      <c r="R91" s="487"/>
      <c r="S91" s="487" t="str">
        <f aca="false">INDEX('liste reference'!$A$8:$A$904,$T$91)</f>
        <v>BRARIV</v>
      </c>
      <c r="T91" s="280" t="n">
        <f aca="false">IF(ISERROR(MATCH($S$93,'liste reference'!$A$8:$A$904,0)),MATCH($S$93,'liste reference'!$B$8:$B$904,0),(MATCH($S$93,'liste reference'!$A$8:$A$904,0)))</f>
        <v>155</v>
      </c>
      <c r="U91" s="527"/>
    </row>
    <row r="92" customFormat="false" ht="12.75" hidden="false" customHeight="false" outlineLevel="0" collapsed="false">
      <c r="Q92" s="280" t="s">
        <v>2689</v>
      </c>
      <c r="R92" s="280"/>
      <c r="S92" s="280" t="n">
        <f aca="false">MATCH(S87,$S$23:$S$82,0)</f>
        <v>5</v>
      </c>
      <c r="T92" s="280"/>
    </row>
    <row r="93" customFormat="false" ht="12.75" hidden="false" customHeight="false" outlineLevel="0" collapsed="false">
      <c r="Q93" s="487" t="s">
        <v>2690</v>
      </c>
      <c r="R93" s="280"/>
      <c r="S93" s="487" t="str">
        <f aca="false">INDEX($A$23:$A$82,$S$92)</f>
        <v>BRARIV</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2691</v>
      </c>
      <c r="B2" s="284"/>
      <c r="C2" s="285" t="s">
        <v>2692</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2693</v>
      </c>
      <c r="B3" s="284"/>
      <c r="C3" s="283" t="s">
        <v>2694</v>
      </c>
      <c r="D3" s="294"/>
      <c r="E3" s="294"/>
      <c r="F3" s="295"/>
      <c r="G3" s="295"/>
      <c r="H3" s="296"/>
      <c r="I3" s="297"/>
      <c r="J3" s="296"/>
      <c r="K3" s="298" t="s">
        <v>2695</v>
      </c>
      <c r="L3" s="299"/>
      <c r="M3" s="300" t="s">
        <v>2696</v>
      </c>
      <c r="N3" s="301"/>
      <c r="O3" s="301"/>
      <c r="P3" s="302"/>
      <c r="Q3" s="280"/>
      <c r="R3" s="280"/>
      <c r="S3" s="280"/>
      <c r="T3" s="280"/>
      <c r="U3" s="280"/>
      <c r="V3" s="280"/>
      <c r="W3" s="292"/>
      <c r="X3" s="293"/>
    </row>
    <row r="4" customFormat="false" ht="13.5" hidden="false" customHeight="false" outlineLevel="0" collapsed="false">
      <c r="A4" s="303" t="s">
        <v>2697</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2662</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2663</v>
      </c>
      <c r="R21" s="280"/>
      <c r="S21" s="280"/>
      <c r="T21" s="280"/>
      <c r="U21" s="280"/>
      <c r="V21" s="280"/>
      <c r="W21" s="420"/>
    </row>
    <row r="22" customFormat="false" ht="12.75" hidden="false" customHeight="false" outlineLevel="0" collapsed="false">
      <c r="A22" s="459" t="s">
        <v>2664</v>
      </c>
      <c r="B22" s="460" t="s">
        <v>2665</v>
      </c>
      <c r="C22" s="461" t="s">
        <v>2665</v>
      </c>
      <c r="D22" s="410"/>
      <c r="E22" s="410"/>
      <c r="F22" s="462" t="s">
        <v>2666</v>
      </c>
      <c r="G22" s="463" t="s">
        <v>37</v>
      </c>
      <c r="H22" s="410"/>
      <c r="I22" s="464" t="s">
        <v>2667</v>
      </c>
      <c r="J22" s="464" t="s">
        <v>2668</v>
      </c>
      <c r="K22" s="465" t="s">
        <v>2669</v>
      </c>
      <c r="L22" s="465"/>
      <c r="M22" s="465"/>
      <c r="N22" s="465"/>
      <c r="O22" s="465"/>
      <c r="P22" s="466" t="s">
        <v>2670</v>
      </c>
      <c r="Q22" s="467" t="s">
        <v>2671</v>
      </c>
      <c r="R22" s="468" t="s">
        <v>2672</v>
      </c>
      <c r="S22" s="469" t="s">
        <v>2673</v>
      </c>
      <c r="T22" s="470" t="s">
        <v>2674</v>
      </c>
      <c r="U22" s="471" t="s">
        <v>2675</v>
      </c>
      <c r="V22" s="469" t="s">
        <v>2676</v>
      </c>
      <c r="Y22" s="280" t="s">
        <v>2677</v>
      </c>
      <c r="Z22" s="280" t="s">
        <v>2678</v>
      </c>
      <c r="AA22" s="472" t="s">
        <v>2679</v>
      </c>
      <c r="AB22" s="472" t="s">
        <v>2680</v>
      </c>
      <c r="AC22" s="473" t="s">
        <v>2681</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2682</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2683</v>
      </c>
      <c r="R86" s="280"/>
      <c r="S86" s="488"/>
      <c r="T86" s="280"/>
      <c r="U86" s="280"/>
      <c r="V86" s="280"/>
    </row>
    <row r="87" customFormat="false" ht="12.75" hidden="true" customHeight="false" outlineLevel="0" collapsed="false">
      <c r="P87" s="280"/>
      <c r="Q87" s="280" t="s">
        <v>2684</v>
      </c>
      <c r="R87" s="280"/>
      <c r="S87" s="488" t="n">
        <f aca="false">VLOOKUP(MAX($S$23:$S$82),($S$23:$U$82),1,0)</f>
        <v>0</v>
      </c>
      <c r="T87" s="280"/>
      <c r="U87" s="280"/>
      <c r="V87" s="280"/>
    </row>
    <row r="88" customFormat="false" ht="12.75" hidden="true" customHeight="false" outlineLevel="0" collapsed="false">
      <c r="P88" s="280"/>
      <c r="Q88" s="280" t="s">
        <v>2685</v>
      </c>
      <c r="R88" s="280"/>
      <c r="S88" s="488" t="n">
        <f aca="false">VLOOKUP((S87),($S$23:$U$82),2,0)</f>
        <v>0</v>
      </c>
      <c r="T88" s="280"/>
      <c r="U88" s="280"/>
      <c r="V88" s="280"/>
    </row>
    <row r="89" customFormat="false" ht="12.75" hidden="true" customHeight="false" outlineLevel="0" collapsed="false">
      <c r="Q89" s="280" t="s">
        <v>2686</v>
      </c>
      <c r="R89" s="280"/>
      <c r="S89" s="488" t="n">
        <f aca="false">VLOOKUP((S87),($S$23:$U$82),3,0)</f>
        <v>0</v>
      </c>
      <c r="T89" s="280"/>
    </row>
    <row r="90" customFormat="false" ht="12.75" hidden="false" customHeight="false" outlineLevel="0" collapsed="false">
      <c r="Q90" s="280" t="s">
        <v>2687</v>
      </c>
      <c r="R90" s="280"/>
      <c r="S90" s="538" t="str">
        <f aca="false">IF(ISERROR(SUM($T$23:$T$82)/SUM($U$23:$U$82)),"",(SUM($T$23:$T$82)-S88)/(SUM($U$23:$U$82)-S89))</f>
        <v/>
      </c>
      <c r="T90" s="280"/>
    </row>
    <row r="91" customFormat="false" ht="12.75" hidden="false" customHeight="false" outlineLevel="0" collapsed="false">
      <c r="Q91" s="487" t="s">
        <v>2688</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2689</v>
      </c>
      <c r="R92" s="280"/>
      <c r="S92" s="280" t="n">
        <f aca="false">MATCH(S87,$S$23:$S$82,0)</f>
        <v>1</v>
      </c>
      <c r="T92" s="280"/>
    </row>
    <row r="93" customFormat="false" ht="12.75" hidden="false" customHeight="false" outlineLevel="0" collapsed="false">
      <c r="Q93" s="487" t="s">
        <v>2690</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2698</v>
      </c>
      <c r="B1" s="549"/>
      <c r="C1" s="549"/>
      <c r="D1" s="549"/>
    </row>
    <row r="2" customFormat="false" ht="15" hidden="false" customHeight="false" outlineLevel="0" collapsed="false">
      <c r="A2" s="550" t="s">
        <v>2699</v>
      </c>
      <c r="B2" s="551"/>
      <c r="C2" s="552"/>
      <c r="D2" s="552"/>
    </row>
    <row r="3" customFormat="false" ht="15.75" hidden="false" customHeight="false" outlineLevel="0" collapsed="false">
      <c r="A3" s="550" t="s">
        <v>2700</v>
      </c>
      <c r="B3" s="551"/>
      <c r="C3" s="552"/>
      <c r="D3" s="553" t="s">
        <v>2701</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2702</v>
      </c>
      <c r="G15" s="571"/>
      <c r="H15" s="572" t="s">
        <v>2703</v>
      </c>
      <c r="I15" s="571"/>
    </row>
    <row r="16" customFormat="false" ht="15" hidden="false" customHeight="false" outlineLevel="0" collapsed="false">
      <c r="A16" s="567" t="s">
        <v>1708</v>
      </c>
      <c r="B16" s="566" t="s">
        <v>1709</v>
      </c>
      <c r="C16" s="568"/>
      <c r="D16" s="569"/>
      <c r="F16" s="573" t="s">
        <v>2704</v>
      </c>
      <c r="G16" s="574"/>
      <c r="H16" s="573" t="s">
        <v>2704</v>
      </c>
      <c r="I16" s="575"/>
    </row>
    <row r="17" customFormat="false" ht="15" hidden="false" customHeight="false" outlineLevel="0" collapsed="false">
      <c r="A17" s="565" t="s">
        <v>2127</v>
      </c>
      <c r="B17" s="566" t="s">
        <v>2128</v>
      </c>
      <c r="C17" s="568"/>
      <c r="D17" s="569"/>
      <c r="F17" s="576" t="s">
        <v>2705</v>
      </c>
      <c r="G17" s="577"/>
      <c r="H17" s="576" t="s">
        <v>2705</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2706</v>
      </c>
      <c r="G19" s="577"/>
      <c r="H19" s="576" t="s">
        <v>2706</v>
      </c>
      <c r="I19" s="578"/>
    </row>
    <row r="20" customFormat="false" ht="15" hidden="false" customHeight="false" outlineLevel="0" collapsed="false">
      <c r="A20" s="567" t="s">
        <v>1714</v>
      </c>
      <c r="B20" s="566" t="s">
        <v>1715</v>
      </c>
      <c r="C20" s="568"/>
      <c r="D20" s="569"/>
      <c r="F20" s="576" t="s">
        <v>2707</v>
      </c>
      <c r="G20" s="577"/>
      <c r="H20" s="576" t="s">
        <v>2707</v>
      </c>
      <c r="I20" s="578"/>
    </row>
    <row r="21" customFormat="false" ht="15" hidden="false" customHeight="false" outlineLevel="0" collapsed="false">
      <c r="A21" s="567" t="s">
        <v>1720</v>
      </c>
      <c r="B21" s="566" t="s">
        <v>1721</v>
      </c>
      <c r="C21" s="568"/>
      <c r="D21" s="569"/>
      <c r="F21" s="576" t="s">
        <v>2708</v>
      </c>
      <c r="G21" s="577"/>
      <c r="H21" s="576" t="s">
        <v>2708</v>
      </c>
      <c r="I21" s="578"/>
    </row>
    <row r="22" customFormat="false" ht="15" hidden="false" customHeight="false" outlineLevel="0" collapsed="false">
      <c r="A22" s="565" t="s">
        <v>1726</v>
      </c>
      <c r="B22" s="566" t="s">
        <v>1727</v>
      </c>
      <c r="C22" s="568"/>
      <c r="D22" s="569"/>
      <c r="F22" s="576" t="s">
        <v>2709</v>
      </c>
      <c r="G22" s="577"/>
      <c r="H22" s="576" t="s">
        <v>2709</v>
      </c>
      <c r="I22" s="578"/>
    </row>
    <row r="23" customFormat="false" ht="15" hidden="false" customHeight="false" outlineLevel="0" collapsed="false">
      <c r="A23" s="565" t="s">
        <v>2465</v>
      </c>
      <c r="B23" s="566" t="s">
        <v>2466</v>
      </c>
      <c r="C23" s="568"/>
      <c r="D23" s="569"/>
      <c r="F23" s="576" t="s">
        <v>2710</v>
      </c>
      <c r="G23" s="577"/>
      <c r="H23" s="576" t="s">
        <v>2710</v>
      </c>
      <c r="I23" s="578"/>
    </row>
    <row r="24" customFormat="false" ht="15" hidden="false" customHeight="false" outlineLevel="0" collapsed="false">
      <c r="A24" s="565" t="s">
        <v>2130</v>
      </c>
      <c r="B24" s="566" t="s">
        <v>2131</v>
      </c>
      <c r="C24" s="568"/>
      <c r="D24" s="569"/>
      <c r="F24" s="576" t="s">
        <v>2711</v>
      </c>
      <c r="G24" s="577"/>
      <c r="H24" s="576" t="s">
        <v>2711</v>
      </c>
      <c r="I24" s="578"/>
    </row>
    <row r="25" customFormat="false" ht="15" hidden="false" customHeight="false" outlineLevel="0" collapsed="false">
      <c r="A25" s="565" t="s">
        <v>2133</v>
      </c>
      <c r="B25" s="566" t="s">
        <v>2134</v>
      </c>
      <c r="C25" s="568"/>
      <c r="D25" s="569"/>
      <c r="F25" s="579" t="s">
        <v>2712</v>
      </c>
      <c r="G25" s="580"/>
      <c r="H25" s="579" t="s">
        <v>2712</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2679</v>
      </c>
    </row>
    <row r="29" customFormat="false" ht="15" hidden="false" customHeight="false" outlineLevel="0" collapsed="false">
      <c r="A29" s="565" t="s">
        <v>1219</v>
      </c>
      <c r="B29" s="566" t="s">
        <v>1220</v>
      </c>
      <c r="C29" s="568"/>
      <c r="D29" s="569"/>
      <c r="F29" s="583" t="s">
        <v>2713</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2714</v>
      </c>
    </row>
    <row r="35" customFormat="false" ht="15" hidden="false" customHeight="false" outlineLevel="0" collapsed="false">
      <c r="A35" s="565" t="s">
        <v>52</v>
      </c>
      <c r="B35" s="566" t="s">
        <v>53</v>
      </c>
      <c r="C35" s="568"/>
      <c r="D35" s="569"/>
      <c r="F35" s="583" t="s">
        <v>2637</v>
      </c>
    </row>
    <row r="36" customFormat="false" ht="15" hidden="false" customHeight="false" outlineLevel="0" collapsed="false">
      <c r="A36" s="567" t="s">
        <v>320</v>
      </c>
      <c r="B36" s="566" t="s">
        <v>321</v>
      </c>
      <c r="C36" s="568"/>
      <c r="D36" s="569"/>
      <c r="F36" s="585" t="s">
        <v>2715</v>
      </c>
    </row>
    <row r="37" customFormat="false" ht="15" hidden="false" customHeight="false" outlineLevel="0" collapsed="false">
      <c r="A37" s="565" t="s">
        <v>2142</v>
      </c>
      <c r="B37" s="566" t="s">
        <v>2716</v>
      </c>
      <c r="C37" s="568"/>
      <c r="D37" s="569"/>
      <c r="F37" s="585" t="s">
        <v>2717</v>
      </c>
    </row>
    <row r="38" customFormat="false" ht="15" hidden="false" customHeight="false" outlineLevel="0" collapsed="false">
      <c r="A38" s="565" t="s">
        <v>2145</v>
      </c>
      <c r="B38" s="566" t="s">
        <v>2146</v>
      </c>
      <c r="C38" s="568"/>
      <c r="D38" s="569"/>
      <c r="F38" s="585" t="s">
        <v>2718</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2719</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2720</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2721</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2722</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2723</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2724</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2725</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2015-02-19T10:33:51Z</dcterms:modified>
  <cp:revision>0</cp:revision>
  <dc:subject/>
  <dc:title>Feuille d'aide au calcul de l'IBMR</dc:title>
</cp:coreProperties>
</file>