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ude à Salle d'A." sheetId="6" state="visible" r:id="rId8"/>
    <sheet name="modele" sheetId="7" state="hidden" r:id="rId9"/>
    <sheet name="liste codes réf" sheetId="8" state="hidden" r:id="rId10"/>
  </sheets>
  <definedNames>
    <definedName function="false" hidden="false" localSheetId="5" name="_xlnm.Print_Area" vbProcedure="false">'Aude à Salle d''A.'!$A$1:$O$82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'Aude à Salle d''A.'!$A$23:$J$84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<sst xmlns="http://schemas.openxmlformats.org/spreadsheetml/2006/main" count="7362" uniqueCount="2730">
  <si>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</si>
  <si>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</si>
  <si>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</si>
  <si>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</si>
  <si>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</si>
  <si>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</si>
  <si>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</si>
  <si>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</si>
  <si>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</si>
  <si>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</si>
  <si>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</si>
  <si>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</si>
  <si>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</si>
  <si>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</si>
  <si>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</si>
  <si>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</si>
  <si>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</si>
  <si>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</si>
  <si>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</si>
  <si>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</si>
  <si>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</si>
  <si>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</si>
  <si>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</si>
  <si>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</si>
  <si>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</si>
  <si>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</si>
  <si>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</si>
  <si>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</si>
  <si>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</si>
  <si>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</si>
  <si>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</si>
  <si>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</si>
  <si>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</si>
  <si>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</si>
  <si>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</si>
  <si>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</si>
  <si>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</si>
  <si>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</si>
  <si>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</si>
  <si>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</si>
  <si>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</si>
  <si>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</si>
  <si>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</si>
  <si>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</si>
  <si>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</si>
  <si>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</si>
  <si>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</si>
  <si>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</si>
  <si>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</si>
  <si>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</si>
  <si>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</si>
  <si>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</si>
  <si>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</si>
  <si>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</si>
  <si>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</si>
  <si>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</si>
  <si>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</si>
  <si>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</si>
  <si>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</si>
  <si>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</si>
  <si>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</si>
  <si>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</si>
  <si>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</si>
  <si>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</si>
  <si>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</si>
  <si>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</si>
  <si>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</si>
  <si>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</si>
  <si>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</si>
  <si>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</si>
  <si>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</si>
  <si>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</si>
  <si>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</si>
  <si>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</si>
  <si>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</si>
  <si>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</si>
  <si>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</si>
  <si>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</si>
  <si>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</si>
  <si>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</si>
  <si>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</si>
  <si>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</si>
  <si>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</si>
  <si>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</si>
  <si>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</si>
  <si>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</si>
  <si>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</si>
  <si>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</si>
  <si>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</si>
  <si>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</si>
  <si>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</si>
  <si>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</si>
  <si>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</si>
  <si>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</si>
  <si>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</si>
  <si>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</si>
  <si>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</si>
  <si>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</si>
  <si>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</si>
  <si>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</si>
  <si>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</si>
  <si>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</si>
  <si>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</si>
  <si>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</si>
  <si>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</si>
  <si>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</si>
  <si>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</si>
  <si>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</si>
  <si>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</si>
  <si>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</si>
  <si>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</si>
  <si>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</si>
  <si>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</si>
  <si>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</si>
  <si>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</si>
  <si>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</si>
  <si>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</si>
  <si>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</si>
  <si>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</si>
  <si>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</si>
  <si>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</si>
  <si>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</si>
  <si>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</si>
  <si>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</si>
  <si>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</si>
  <si>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</si>
  <si>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</si>
  <si>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</si>
  <si>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</si>
  <si>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</si>
  <si>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</si>
  <si>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</si>
  <si>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</si>
  <si>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</si>
  <si>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</si>
  <si>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</si>
  <si>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</si>
  <si>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</si>
  <si>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</si>
  <si>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</si>
  <si>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</si>
  <si>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</si>
  <si>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</si>
  <si>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</si>
  <si>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</si>
  <si>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</si>
  <si>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</si>
  <si>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</si>
  <si>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</si>
  <si>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</si>
  <si>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</si>
  <si>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</si>
  <si>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</si>
  <si>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</si>
  <si>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</si>
  <si>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</si>
  <si>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</si>
  <si>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</si>
  <si>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</si>
  <si>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</si>
  <si>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</si>
  <si>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</si>
  <si>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</si>
  <si>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</si>
  <si>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</si>
  <si>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</si>
  <si>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</si>
  <si>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</si>
  <si>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</si>
  <si>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</si>
  <si>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</si>
  <si>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</si>
  <si>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</si>
  <si>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</si>
  <si>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</si>
  <si>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</si>
  <si>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</si>
  <si>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</si>
  <si>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</si>
  <si>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</si>
  <si>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</si>
  <si>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</si>
  <si>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</si>
  <si>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</si>
  <si>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</si>
  <si>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</si>
  <si>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</si>
  <si>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</si>
  <si>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</si>
  <si>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</si>
  <si>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</si>
  <si>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</si>
  <si>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</si>
  <si>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</si>
  <si>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</si>
  <si>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</si>
  <si>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</si>
  <si>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</si>
  <si>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</si>
  <si>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</si>
  <si>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</si>
  <si>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</si>
  <si>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</si>
  <si>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</si>
  <si>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</si>
  <si>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</si>
  <si>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</si>
  <si>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</si>
  <si>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</si>
  <si>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</si>
  <si>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</si>
  <si>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</si>
  <si>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</si>
  <si>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</si>
  <si>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</si>
  <si>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</si>
  <si>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</si>
  <si>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</si>
  <si>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</si>
  <si>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</si>
  <si>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</si>
  <si>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</si>
  <si>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</si>
  <si>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</si>
  <si>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</si>
  <si>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</si>
  <si>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</si>
  <si>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</si>
  <si>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</si>
  <si>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</si>
  <si>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</si>
  <si>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</si>
  <si>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</si>
  <si>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</si>
  <si>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</si>
  <si>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</si>
  <si>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</si>
  <si>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</si>
  <si>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</si>
  <si>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</si>
  <si>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</si>
  <si>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</si>
  <si>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</si>
  <si>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</si>
  <si>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</si>
  <si>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</si>
  <si>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</si>
  <si>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</si>
  <si>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</si>
  <si>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</si>
  <si>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</si>
  <si>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</si>
  <si>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</si>
  <si>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</si>
  <si>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</si>
  <si>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</si>
  <si>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</si>
  <si>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</si>
  <si>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</si>
  <si>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</si>
  <si>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</si>
  <si>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</si>
  <si>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</si>
  <si>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</si>
  <si>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</si>
  <si>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</si>
  <si>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</si>
  <si>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</si>
  <si>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</si>
  <si>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</si>
  <si>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</si>
  <si>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</si>
  <si>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</si>
  <si>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</si>
  <si>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</si>
  <si>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</si>
  <si>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</si>
  <si>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</si>
  <si>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</si>
  <si>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</si>
  <si>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</si>
  <si>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</si>
  <si>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</si>
  <si>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</si>
  <si>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</si>
  <si>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</si>
  <si>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</si>
  <si>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</si>
  <si>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</si>
  <si>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</si>
  <si>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</si>
  <si>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</si>
  <si>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</si>
  <si>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</si>
  <si>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</si>
  <si>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</si>
  <si>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</si>
  <si>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</si>
  <si>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</si>
  <si>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</si>
  <si>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</si>
  <si>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</si>
  <si>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</si>
  <si>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</si>
  <si>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</si>
  <si>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</si>
  <si>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</si>
  <si>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</si>
  <si>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</si>
  <si>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</si>
  <si>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</si>
  <si>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</si>
  <si>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</si>
  <si>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</si>
  <si>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</si>
  <si>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</si>
  <si>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</si>
  <si>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</si>
  <si>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</si>
  <si>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</si>
  <si>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</si>
  <si>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</si>
  <si>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</si>
  <si>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</si>
  <si>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</si>
  <si>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</si>
  <si>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</si>
  <si>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</si>
  <si>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</si>
  <si>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</si>
  <si>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</si>
  <si>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</si>
  <si>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</si>
  <si>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</si>
  <si>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</si>
  <si>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</si>
  <si>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</si>
  <si>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</si>
  <si>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</si>
  <si>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</si>
  <si>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</si>
  <si>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</si>
  <si>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</si>
  <si>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</si>
  <si>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</si>
  <si>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</si>
  <si>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</si>
  <si>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</si>
  <si>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</si>
  <si>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</si>
  <si>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</si>
  <si>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</si>
  <si>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</si>
  <si>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</si>
  <si>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</si>
  <si>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</si>
  <si>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</si>
  <si>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</si>
  <si>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</si>
  <si>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</si>
  <si>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</si>
  <si>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</si>
  <si>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</si>
  <si>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</si>
  <si>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</si>
  <si>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</si>
  <si>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</si>
  <si>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</si>
  <si>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</si>
  <si>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</si>
  <si>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</si>
  <si>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</si>
  <si>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</si>
  <si>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</si>
  <si>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</si>
  <si>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</si>
  <si>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</si>
  <si>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</si>
  <si>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</si>
  <si>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</si>
  <si>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</si>
  <si>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</si>
  <si>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</si>
  <si>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</si>
  <si>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</si>
  <si>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</si>
  <si>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</si>
  <si>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</si>
  <si>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</si>
  <si>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</si>
  <si>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</si>
  <si>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</si>
  <si>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</si>
  <si>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</si>
  <si>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</si>
  <si>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</si>
  <si>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</si>
  <si>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</si>
  <si>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</si>
  <si>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</si>
  <si>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</si>
  <si>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</si>
  <si>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</si>
  <si>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</si>
  <si>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</si>
  <si>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</si>
  <si>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</si>
  <si>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</si>
  <si>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</si>
  <si>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</si>
  <si>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</si>
  <si>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</si>
  <si>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</si>
  <si>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</si>
  <si>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</si>
  <si>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</si>
  <si>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</si>
  <si>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</si>
  <si>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</si>
  <si>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</si>
  <si>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</si>
  <si>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</si>
  <si>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</si>
  <si>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</si>
  <si>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</si>
  <si>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</si>
  <si>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</si>
  <si>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</si>
  <si>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</si>
  <si>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</si>
  <si>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</si>
  <si>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</si>
  <si>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</si>
  <si>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</si>
  <si>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</si>
  <si>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</si>
  <si>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</si>
  <si>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</si>
  <si>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</si>
  <si>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</si>
  <si>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</si>
  <si>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</si>
  <si>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</si>
  <si>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</si>
  <si>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</si>
  <si>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</si>
  <si>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</si>
  <si>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</si>
  <si>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</si>
  <si>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</si>
  <si>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</si>
  <si>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</si>
  <si>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</si>
  <si>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</si>
  <si>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</si>
  <si>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</si>
  <si>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</si>
  <si>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</si>
  <si>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</si>
  <si>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</si>
  <si>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</si>
  <si>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</si>
  <si>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</si>
  <si>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</si>
  <si>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</si>
  <si>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</si>
  <si>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</si>
  <si>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</si>
  <si>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</si>
  <si>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</si>
  <si>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</si>
  <si>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</si>
  <si>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</si>
  <si>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</si>
  <si>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</si>
  <si>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</si>
  <si>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</si>
  <si>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</si>
  <si>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</si>
  <si>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</si>
  <si>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</si>
  <si>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</si>
  <si>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</si>
  <si>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</si>
  <si>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</si>
  <si>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</si>
  <si>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</si>
  <si>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</si>
  <si>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</si>
  <si>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</si>
  <si>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</si>
  <si>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</si>
  <si>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</si>
  <si>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</si>
  <si>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</si>
  <si>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</si>
  <si>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</si>
  <si>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</si>
  <si>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</si>
  <si>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</si>
  <si>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</si>
  <si>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</si>
  <si>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</si>
  <si>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</si>
  <si>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</si>
  <si>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</si>
  <si>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</si>
  <si>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</si>
  <si>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</si>
  <si>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</si>
  <si>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</si>
  <si>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</si>
  <si>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</si>
  <si>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</si>
  <si>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</si>
  <si>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</si>
  <si>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</si>
  <si>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</si>
  <si>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</si>
  <si>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</si>
  <si>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</si>
  <si>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</si>
  <si>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</si>
  <si>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</si>
  <si>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</si>
  <si>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</si>
  <si>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</si>
  <si>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</si>
  <si>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</si>
  <si>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</si>
  <si>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</si>
  <si>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</si>
  <si>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</si>
  <si>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</si>
  <si>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</si>
  <si>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</si>
  <si>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</si>
  <si>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</si>
  <si>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</si>
  <si>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</si>
  <si>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</si>
  <si>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</si>
  <si>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</si>
  <si>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</si>
  <si>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</si>
  <si>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</si>
  <si>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</si>
  <si>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</si>
  <si>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</si>
  <si>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</si>
  <si>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</si>
  <si>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</si>
  <si>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</si>
  <si>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</si>
  <si>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</si>
  <si>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</si>
  <si>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</si>
  <si>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</si>
  <si>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</si>
  <si>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</si>
  <si>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</si>
  <si>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</si>
  <si>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</si>
  <si>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</si>
  <si>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</si>
  <si>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</si>
  <si>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</si>
  <si>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</si>
  <si>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</si>
  <si>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</si>
  <si>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</si>
  <si>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</si>
  <si>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</si>
  <si>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</si>
  <si>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</si>
  <si>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</si>
  <si>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</si>
  <si>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</si>
  <si>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</si>
  <si>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</si>
  <si>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</si>
  <si>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</si>
  <si>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</si>
  <si>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</si>
  <si>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</si>
  <si>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</si>
  <si>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</si>
  <si>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</si>
  <si>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</si>
  <si>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</si>
  <si>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</si>
  <si>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</si>
  <si>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</si>
  <si>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</si>
  <si>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</si>
  <si>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</si>
  <si>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</si>
  <si>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</si>
  <si>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</si>
  <si>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</si>
  <si>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</si>
  <si>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</si>
  <si>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</si>
  <si>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</si>
  <si>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</si>
  <si>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</si>
  <si>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</si>
  <si>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</si>
  <si>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</si>
  <si>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</si>
  <si>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</si>
  <si>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</si>
  <si>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</si>
  <si>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</si>
  <si>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</si>
  <si>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</si>
  <si>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</si>
  <si>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</si>
  <si>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</si>
  <si>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</si>
  <si>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</si>
  <si>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</si>
  <si>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</si>
  <si>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</si>
  <si>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</si>
  <si>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</si>
  <si>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</si>
  <si>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</si>
  <si>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</si>
  <si>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</si>
  <si>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</si>
  <si>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</si>
  <si>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</si>
  <si>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</si>
  <si>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</si>
  <si>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</si>
  <si>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</si>
  <si>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</si>
  <si>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</si>
  <si>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</si>
  <si>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</si>
  <si>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</si>
  <si>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</si>
  <si>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</si>
  <si>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</si>
  <si>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</si>
  <si>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</si>
  <si>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</si>
  <si>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</si>
  <si>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</si>
  <si>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</si>
  <si>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</si>
  <si>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</si>
  <si>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</si>
  <si>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</si>
  <si>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</si>
  <si>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</si>
  <si>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</si>
  <si>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</si>
  <si>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</si>
  <si>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</si>
  <si>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</si>
  <si>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</si>
  <si>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</si>
  <si>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</si>
  <si>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</si>
  <si>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</si>
  <si>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</si>
  <si>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</si>
  <si>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</si>
  <si>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</si>
  <si>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</si>
  <si>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</si>
  <si>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</si>
  <si>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</si>
  <si>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</si>
  <si>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</si>
  <si>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</si>
  <si>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</si>
  <si>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</si>
  <si>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</si>
  <si>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</si>
  <si>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</si>
  <si>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</si>
  <si>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</si>
  <si>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</si>
  <si>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</si>
  <si>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</si>
  <si>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</si>
  <si>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</si>
  <si>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</si>
  <si>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</si>
  <si>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</si>
  <si>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</si>
  <si>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</si>
  <si>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</si>
  <si>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</si>
  <si>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</si>
  <si>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</si>
  <si>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</si>
  <si>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</si>
  <si>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</si>
  <si>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</si>
  <si>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</si>
  <si>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</si>
  <si>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</si>
  <si>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</si>
  <si>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</si>
  <si>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</si>
  <si>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</si>
  <si>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</si>
  <si>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</si>
  <si>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</si>
  <si>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</si>
  <si>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</si>
  <si>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</si>
  <si>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</si>
  <si>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</si>
  <si>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</si>
  <si>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</si>
  <si>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</si>
  <si>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</si>
  <si>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</si>
  <si>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</si>
  <si>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</si>
  <si>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</si>
  <si>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</si>
  <si>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</si>
  <si>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</si>
  <si>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</si>
  <si>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</si>
  <si>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</si>
  <si>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</si>
  <si>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</si>
  <si>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</si>
  <si>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</si>
  <si>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</si>
  <si>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</si>
  <si>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</si>
  <si>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</si>
  <si>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</si>
  <si>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</si>
  <si>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</si>
  <si>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</si>
  <si>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</si>
  <si>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</si>
  <si>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</si>
  <si>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</si>
  <si>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</si>
  <si>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</si>
  <si>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</si>
  <si>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</si>
  <si>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</si>
  <si>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</si>
  <si>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</si>
  <si>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</si>
  <si>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</si>
  <si>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</si>
  <si>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</si>
  <si>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</si>
  <si>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</si>
  <si>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</si>
  <si>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</si>
  <si>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</si>
  <si>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</si>
  <si>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</si>
  <si>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</si>
  <si>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</si>
  <si>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</si>
  <si>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</si>
  <si>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</si>
  <si>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</si>
  <si>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</si>
  <si>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</si>
  <si>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</si>
  <si>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</si>
  <si>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</si>
  <si>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</si>
  <si>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</si>
  <si>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</si>
  <si>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</si>
  <si>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</si>
  <si>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</si>
  <si>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</si>
  <si>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</si>
  <si>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</si>
  <si>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</si>
  <si>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</si>
  <si>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</si>
  <si>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</si>
  <si>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</si>
  <si>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</si>
  <si>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</si>
  <si>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</si>
  <si>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</si>
  <si>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</si>
  <si>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</si>
  <si>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</si>
  <si>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</si>
  <si>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</si>
  <si>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</si>
  <si>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</si>
  <si>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</si>
  <si>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</si>
  <si>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</si>
  <si>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</si>
  <si>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</si>
  <si>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</si>
  <si>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</si>
  <si>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</si>
  <si>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</si>
  <si>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</si>
  <si>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</si>
  <si>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</si>
  <si>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</si>
  <si>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</si>
  <si>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</si>
  <si>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</si>
  <si>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</si>
  <si>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</si>
  <si>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</si>
  <si>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</si>
  <si>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</si>
  <si>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</si>
  <si>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</si>
  <si>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</si>
  <si>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</si>
  <si>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</si>
  <si>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</si>
  <si>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</si>
  <si>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</si>
  <si>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</si>
  <si>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</si>
  <si>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</si>
  <si>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</si>
  <si>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</si>
  <si>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</si>
  <si>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</si>
  <si>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</si>
  <si>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</si>
  <si>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</si>
  <si>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</si>
  <si>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</si>
  <si>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</si>
  <si>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</si>
  <si>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</si>
  <si>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</si>
  <si>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</si>
  <si>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</si>
  <si>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</si>
  <si>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</si>
  <si>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</si>
  <si>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</si>
  <si>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</si>
  <si>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</si>
  <si>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</si>
  <si>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</si>
  <si>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</si>
  <si>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</si>
  <si>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</si>
  <si>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</si>
  <si>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</si>
  <si>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</si>
  <si>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</si>
  <si>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</si>
  <si>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</si>
  <si>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</si>
  <si>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</si>
  <si>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</si>
  <si>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</si>
  <si>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</si>
  <si>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</si>
  <si>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</si>
  <si>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</si>
  <si>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</si>
  <si>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</si>
  <si>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</si>
  <si>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</si>
  <si>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</si>
  <si>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</si>
  <si>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</si>
  <si>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</si>
  <si>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</si>
  <si>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</si>
  <si>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</si>
  <si>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</si>
  <si>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</si>
  <si>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</si>
  <si>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</si>
  <si>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</si>
  <si>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</si>
  <si>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</si>
  <si>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</si>
  <si>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</si>
  <si>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</si>
  <si>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</si>
  <si>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</si>
  <si>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</si>
  <si>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</si>
  <si>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</si>
  <si>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</si>
  <si>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</si>
  <si>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</si>
  <si>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</si>
  <si>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</si>
  <si>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</si>
  <si>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</si>
  <si>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</si>
  <si>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</si>
  <si>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</si>
  <si>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</si>
  <si>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</si>
  <si>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</si>
  <si>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</si>
  <si>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</si>
  <si>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</si>
  <si>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</si>
  <si>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</si>
  <si>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</si>
  <si>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</si>
  <si>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</si>
  <si>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</si>
  <si>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</si>
  <si>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</si>
  <si>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</si>
  <si>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</si>
  <si>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</si>
  <si>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</si>
  <si>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</si>
  <si>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</si>
  <si>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</si>
  <si>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</si>
  <si>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</si>
  <si>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</si>
  <si>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</si>
  <si>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</si>
  <si>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</si>
  <si>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</si>
  <si>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</si>
  <si>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</si>
  <si>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</si>
  <si>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</si>
  <si>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</si>
  <si>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</si>
  <si>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</si>
  <si>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</si>
  <si>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</si>
  <si>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</si>
  <si>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</si>
  <si>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</si>
  <si>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</si>
  <si>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</si>
  <si>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</si>
  <si>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</si>
  <si>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</si>
  <si>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</si>
  <si>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</si>
  <si>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</si>
  <si>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</si>
  <si>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</si>
  <si>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</si>
  <si>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</si>
  <si>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</si>
  <si>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</si>
  <si>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</si>
  <si>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</si>
  <si>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</si>
  <si>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</si>
  <si>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</si>
  <si>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</si>
  <si>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</si>
  <si>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</si>
  <si>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</si>
  <si>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</si>
  <si>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</si>
  <si>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</si>
  <si>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</si>
  <si>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</si>
  <si>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</si>
  <si>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</si>
  <si>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</si>
  <si>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</si>
  <si>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</si>
  <si>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</si>
  <si>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</si>
  <si>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</si>
  <si>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</si>
  <si>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</si>
  <si>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</si>
  <si>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</si>
  <si>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</si>
  <si>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</si>
  <si>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</si>
  <si>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</si>
  <si>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</si>
  <si>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</si>
  <si>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</si>
  <si>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</si>
  <si>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</si>
  <si>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</si>
  <si>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</si>
  <si>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</si>
  <si>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</si>
  <si>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</si>
  <si>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</si>
  <si>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</si>
  <si>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</si>
  <si>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</si>
  <si>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</si>
  <si>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</si>
  <si>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</si>
  <si>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</si>
  <si>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</si>
  <si>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</si>
  <si>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</si>
  <si>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</si>
  <si>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</si>
  <si>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</si>
  <si>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</si>
  <si>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</si>
  <si>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</si>
  <si>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</si>
  <si>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</si>
  <si>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</si>
  <si>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</si>
  <si>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</si>
  <si>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</si>
  <si>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</si>
  <si>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</si>
  <si>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</si>
  <si>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</si>
  <si>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</si>
  <si>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</si>
  <si>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</si>
  <si>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</si>
  <si>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</si>
  <si>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</si>
  <si>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</si>
  <si>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</si>
  <si>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</si>
  <si>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</si>
  <si>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</si>
  <si>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</si>
  <si>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</si>
  <si>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</si>
  <si>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</si>
  <si>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</si>
  <si>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</si>
  <si>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</si>
  <si>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</si>
  <si>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</si>
  <si>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</si>
  <si>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</si>
  <si>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</si>
  <si>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</si>
  <si>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</si>
  <si>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</si>
  <si>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</si>
  <si>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</si>
  <si>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</si>
  <si>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</si>
  <si>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</si>
  <si>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</si>
  <si>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</si>
  <si>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</si>
  <si>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</si>
  <si>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</si>
  <si>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</si>
  <si>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</si>
  <si>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</si>
  <si>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</si>
  <si>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</si>
  <si>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</si>
  <si>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</si>
  <si>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</si>
  <si>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</si>
  <si>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</si>
  <si>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</si>
  <si>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</si>
  <si>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</si>
  <si>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</si>
  <si>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</si>
  <si>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</si>
  <si>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</si>
  <si>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</si>
  <si>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</si>
  <si>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</si>
  <si>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</si>
  <si>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</si>
  <si>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</si>
  <si>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</si>
  <si>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</si>
  <si>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</si>
  <si>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</si>
  <si>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</si>
  <si>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</si>
  <si>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</si>
  <si>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</si>
  <si>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</si>
  <si>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</si>
  <si>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</si>
  <si>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</si>
  <si>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</si>
  <si>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</si>
  <si>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</si>
  <si>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</si>
  <si>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</si>
  <si>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</si>
  <si>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</si>
  <si>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</si>
  <si>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</si>
  <si>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</si>
  <si>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</si>
  <si>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</si>
  <si>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</si>
  <si>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</si>
  <si>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</si>
  <si>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</si>
  <si>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</si>
  <si>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</si>
  <si>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</si>
  <si>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</si>
  <si>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</si>
  <si>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</si>
  <si>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</si>
  <si>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</si>
  <si>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</si>
  <si>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</si>
  <si>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</si>
  <si>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</si>
  <si>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</si>
  <si>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</si>
  <si>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</si>
  <si>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</si>
  <si>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</si>
  <si>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</si>
  <si>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</si>
  <si>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</si>
  <si>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</si>
  <si>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</si>
  <si>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</si>
  <si>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</si>
  <si>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</si>
  <si>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</si>
  <si>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</si>
  <si>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</si>
  <si>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</si>
  <si>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</si>
  <si>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</si>
  <si>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</si>
  <si>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</si>
  <si>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</si>
  <si>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</si>
  <si>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</si>
  <si>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</si>
  <si>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</si>
  <si>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</si>
  <si>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</si>
  <si>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</si>
  <si>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</si>
  <si>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</si>
  <si>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</si>
  <si>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</si>
  <si>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</si>
  <si>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</si>
  <si>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</si>
  <si>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</si>
  <si>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</si>
  <si>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</si>
  <si>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</si>
  <si>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</si>
  <si>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</si>
  <si>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</si>
  <si>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</si>
  <si>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</si>
  <si>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</si>
  <si>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</si>
  <si>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</si>
  <si>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</si>
  <si>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</si>
  <si>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</si>
  <si>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</si>
  <si>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</si>
  <si>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</si>
  <si>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</si>
  <si>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</si>
  <si>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</si>
  <si>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</si>
  <si>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</si>
  <si>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</si>
  <si>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</si>
  <si>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</si>
  <si>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</si>
  <si>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</si>
  <si>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</si>
  <si>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</si>
  <si>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</si>
  <si>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</si>
  <si>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</si>
  <si>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</si>
  <si>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</si>
  <si>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</si>
  <si>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</si>
  <si>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</si>
  <si>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</si>
  <si>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</si>
  <si>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</si>
  <si>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</si>
  <si>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</si>
  <si>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</si>
  <si>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</si>
  <si>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</si>
  <si>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</si>
  <si>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</si>
  <si>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</si>
  <si>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</si>
  <si>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</si>
  <si>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</si>
  <si>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</si>
  <si>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</si>
  <si>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</si>
  <si>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</si>
  <si>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</si>
  <si>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</si>
  <si>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</si>
  <si>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</si>
  <si>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</si>
  <si>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</si>
  <si>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</si>
  <si>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</si>
  <si>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</si>
  <si>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</si>
  <si>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</si>
  <si>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</si>
  <si>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</si>
  <si>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</si>
  <si>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</si>
  <si>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</si>
  <si>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</si>
  <si>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</si>
  <si>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</si>
  <si>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</si>
  <si>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</si>
  <si>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</si>
  <si>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</si>
  <si>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</si>
  <si>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</si>
  <si>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</si>
  <si>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</si>
  <si>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</si>
  <si>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</si>
  <si>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</si>
  <si>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</si>
  <si>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</si>
  <si>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</si>
  <si>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</si>
  <si>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</si>
  <si>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</si>
  <si>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</si>
  <si>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</si>
  <si>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</si>
  <si>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</si>
  <si>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</si>
  <si>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</si>
  <si>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</si>
  <si>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</si>
  <si>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</si>
  <si>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</si>
  <si>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</si>
  <si>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</si>
  <si>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</si>
  <si>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</si>
  <si>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</si>
  <si>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</si>
  <si>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</si>
  <si>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</si>
  <si>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</si>
  <si>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</si>
  <si>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</si>
  <si>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</si>
  <si>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</si>
  <si>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</si>
  <si>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</si>
  <si>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</si>
  <si>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</si>
  <si>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</si>
  <si>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</si>
  <si>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</si>
  <si>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</si>
  <si>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</si>
  <si>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</si>
  <si>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</si>
  <si>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</si>
  <si>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</si>
  <si>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</si>
  <si>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</si>
  <si>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</si>
  <si>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</si>
  <si>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</si>
  <si>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</si>
  <si>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</si>
  <si>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</si>
  <si>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</si>
  <si>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</si>
  <si>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</si>
  <si>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</si>
  <si>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</si>
  <si>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</si>
  <si>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</si>
  <si>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</si>
  <si>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</si>
  <si>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</si>
  <si>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</si>
  <si>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</si>
  <si>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</si>
  <si>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</si>
  <si>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</si>
  <si>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</si>
  <si>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</si>
  <si>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</si>
  <si>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</si>
  <si>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</si>
  <si>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</si>
  <si>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</si>
  <si>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</si>
  <si>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</si>
  <si>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</si>
  <si>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</si>
  <si>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</si>
  <si>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</si>
  <si>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</si>
  <si>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</si>
  <si>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</si>
  <si>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</si>
  <si>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</si>
  <si>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</si>
  <si>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</si>
  <si>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</si>
  <si>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</si>
  <si>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</si>
  <si>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</si>
  <si>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</si>
  <si>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</si>
  <si>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</si>
  <si>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</si>
  <si>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</si>
  <si>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</si>
  <si>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</si>
  <si>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</si>
  <si>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</si>
  <si>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</si>
  <si>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</si>
  <si>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</si>
  <si>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</si>
  <si>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</si>
  <si>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</si>
  <si>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</si>
  <si>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</si>
  <si>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</si>
  <si>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</si>
  <si>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</si>
  <si>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</si>
  <si>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</si>
  <si>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</si>
  <si>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</si>
  <si>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</si>
  <si>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</si>
  <si>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</si>
  <si>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</si>
  <si>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</si>
  <si>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</si>
  <si>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</si>
  <si>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</si>
  <si>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</si>
  <si>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</si>
  <si>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</si>
  <si>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</si>
  <si>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</si>
  <si>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</si>
  <si>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</si>
  <si>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</si>
  <si>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</si>
  <si>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</si>
  <si>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</si>
  <si>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</si>
  <si>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</si>
  <si>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</si>
  <si>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</si>
  <si>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</si>
  <si>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</si>
  <si>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</si>
  <si>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</si>
  <si>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</si>
  <si>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</si>
  <si>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</si>
  <si>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</si>
  <si>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</si>
  <si>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</si>
  <si>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</si>
  <si>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</si>
  <si>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</si>
  <si>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</si>
  <si>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</si>
  <si>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</si>
  <si>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</si>
  <si>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</si>
  <si>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</si>
  <si>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</si>
  <si>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</si>
  <si>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</si>
  <si>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</si>
  <si>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</si>
  <si>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</si>
  <si>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</si>
  <si>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</si>
  <si>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</si>
  <si>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</si>
  <si>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</si>
  <si>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</si>
  <si>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</si>
  <si>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</si>
  <si>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</si>
  <si>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</si>
  <si>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</si>
  <si>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</si>
  <si>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</si>
  <si>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</si>
  <si>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</si>
  <si>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</si>
  <si>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</si>
  <si>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</si>
  <si>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</si>
  <si>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</si>
  <si>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</si>
  <si>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</si>
  <si>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</si>
  <si>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</si>
  <si>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</si>
  <si>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</si>
  <si>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</si>
  <si>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</si>
  <si>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</si>
  <si>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</si>
  <si>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</si>
  <si>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</si>
  <si>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</si>
  <si>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</si>
  <si>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</si>
  <si>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</si>
  <si>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</si>
  <si>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</si>
  <si>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</si>
  <si>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</si>
  <si>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</si>
  <si>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</si>
  <si>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</si>
  <si>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</si>
  <si>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</si>
  <si>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</si>
  <si>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</si>
  <si>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</si>
  <si>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</si>
  <si>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</si>
  <si>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</si>
  <si>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</si>
  <si>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</si>
  <si>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</si>
  <si>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</si>
  <si>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</si>
  <si>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</si>
  <si>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</si>
  <si>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</si>
  <si>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</si>
  <si>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</si>
  <si>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</si>
  <si>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</si>
  <si>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</si>
  <si>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</si>
  <si>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</si>
  <si>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</si>
  <si>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</si>
  <si>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</si>
  <si>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</si>
  <si>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</si>
  <si>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</si>
  <si>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</si>
  <si>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</si>
  <si>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</si>
  <si>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</si>
  <si>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</si>
  <si>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</si>
  <si>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</si>
  <si>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</si>
  <si>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</si>
  <si>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</si>
  <si>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</si>
  <si>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</si>
  <si>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</si>
  <si>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</si>
  <si>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</si>
  <si>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</si>
  <si>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</si>
  <si>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</si>
  <si>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</si>
  <si>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</si>
  <si>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</si>
  <si>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</si>
  <si>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</si>
  <si>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</si>
  <si>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</si>
  <si>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</si>
  <si>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</si>
  <si>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</si>
  <si>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</si>
  <si>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</si>
  <si>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</si>
  <si>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</si>
  <si>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</si>
  <si>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</si>
  <si>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</si>
  <si>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</si>
  <si>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</si>
  <si>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</si>
  <si>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</si>
  <si>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</si>
  <si>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</si>
  <si>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</si>
  <si>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</si>
  <si>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</si>
  <si>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</si>
  <si>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</si>
  <si>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</si>
  <si>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</si>
  <si>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</si>
  <si>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</si>
  <si>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</si>
  <si>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</si>
  <si>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</si>
  <si>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</si>
  <si>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</si>
  <si>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</si>
  <si>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</si>
  <si>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</si>
  <si>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</si>
  <si>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</si>
  <si>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</si>
  <si>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</si>
  <si>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</si>
  <si>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</si>
  <si>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</si>
  <si>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</si>
  <si>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</si>
  <si>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</si>
  <si>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</si>
  <si>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</si>
  <si>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</si>
  <si>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</si>
  <si>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</si>
  <si>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</si>
  <si>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</si>
  <si>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</si>
  <si>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</si>
  <si>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</si>
  <si>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</si>
  <si>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</si>
  <si>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</si>
  <si>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</si>
  <si>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</si>
  <si>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</si>
  <si>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</si>
  <si>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</si>
  <si>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</si>
  <si>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</si>
  <si>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</si>
  <si>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</si>
  <si>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</si>
  <si>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</si>
  <si>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</si>
  <si>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</si>
  <si>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</si>
  <si>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</si>
  <si>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</si>
  <si>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</si>
  <si>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</si>
  <si>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</si>
  <si>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</si>
  <si>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</si>
  <si>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</si>
  <si>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</si>
  <si>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</si>
  <si>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</si>
  <si>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</si>
  <si>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</si>
  <si>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</si>
  <si>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</si>
  <si>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</si>
  <si>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</si>
  <si>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</si>
  <si>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</si>
  <si>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</si>
  <si>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</si>
  <si>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</si>
  <si>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</si>
  <si>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</si>
  <si>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</si>
  <si>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</si>
  <si>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</si>
  <si>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</si>
  <si>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</si>
  <si>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</si>
  <si>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</si>
  <si>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</si>
  <si>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</si>
  <si>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</si>
  <si>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</si>
  <si>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</si>
  <si>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</si>
  <si>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</si>
  <si>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</si>
  <si>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</si>
  <si>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</si>
  <si>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</si>
  <si>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</si>
  <si>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</si>
  <si>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</si>
  <si>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</si>
  <si>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</si>
  <si>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</si>
  <si>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</si>
  <si>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</si>
  <si>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</si>
  <si>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</si>
  <si>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</si>
  <si>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</si>
  <si>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</si>
  <si>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</si>
  <si>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</si>
  <si>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</si>
  <si>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</si>
  <si>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</si>
  <si>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</si>
  <si>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</si>
  <si>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</si>
  <si>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</si>
  <si>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</si>
  <si>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</si>
  <si>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</si>
  <si>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</si>
  <si>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</si>
  <si>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</si>
  <si>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</si>
  <si>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</si>
  <si>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</si>
  <si>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</si>
  <si>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</si>
  <si>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</si>
  <si>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</si>
  <si>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</si>
  <si>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</si>
  <si>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</si>
  <si>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</si>
  <si>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</si>
  <si>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</si>
  <si>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</si>
  <si>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</si>
  <si>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</si>
  <si>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</si>
  <si>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</si>
  <si>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</si>
  <si>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</si>
  <si>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</si>
  <si>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</si>
  <si>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</si>
  <si>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</si>
  <si>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</si>
  <si>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</si>
  <si>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</si>
  <si>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</si>
  <si>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</si>
  <si>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</si>
  <si>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</si>
  <si>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</si>
  <si>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</si>
  <si>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</si>
  <si>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</si>
  <si>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</si>
  <si>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</si>
  <si>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</si>
  <si>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</si>
  <si>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</si>
  <si>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</si>
  <si>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</si>
  <si>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</si>
  <si>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</si>
  <si>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</si>
  <si>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</si>
  <si>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</si>
  <si>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</si>
  <si>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</si>
  <si>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</si>
  <si>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</si>
  <si>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</si>
  <si>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</si>
  <si>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</si>
  <si>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</si>
  <si>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</si>
  <si>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</si>
  <si>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</si>
  <si>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</si>
  <si>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</si>
  <si>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</si>
  <si>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</si>
  <si>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</si>
  <si>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</si>
  <si>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</si>
  <si>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</si>
  <si>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</si>
  <si>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</si>
  <si>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</si>
  <si>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</si>
  <si>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</si>
  <si>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</si>
  <si>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</si>
  <si>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</si>
  <si>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</si>
  <si>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</si>
  <si>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</si>
  <si>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</si>
  <si>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</si>
  <si>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</si>
  <si>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</si>
  <si>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</si>
  <si>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</si>
  <si>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</si>
  <si>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</si>
  <si>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</si>
  <si>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</si>
  <si>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</si>
  <si>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</si>
  <si>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</si>
  <si>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</si>
  <si>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</si>
  <si>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</si>
  <si>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</si>
  <si>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</si>
  <si>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</si>
  <si>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</si>
  <si>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</si>
  <si>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</si>
  <si>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</si>
  <si>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</si>
  <si>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</si>
  <si>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</si>
  <si>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</si>
  <si>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</si>
  <si>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</si>
  <si>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</si>
  <si>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</si>
  <si>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</si>
  <si>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</si>
  <si>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</si>
  <si>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</si>
  <si>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</si>
  <si>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</si>
  <si>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</si>
  <si>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</si>
  <si>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</si>
  <si>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</si>
  <si>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</si>
  <si>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</si>
  <si>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</si>
  <si>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</si>
  <si>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</si>
  <si>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</si>
  <si>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</si>
  <si>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</si>
  <si>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</si>
  <si>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</si>
  <si>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</si>
  <si>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</si>
  <si>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</si>
  <si>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</si>
  <si>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</si>
  <si>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</si>
  <si>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</si>
  <si>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</si>
  <si>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</si>
  <si>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</si>
  <si>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</si>
  <si>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</si>
  <si>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</si>
  <si>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</si>
  <si>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</si>
  <si>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</si>
  <si>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</si>
  <si>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</si>
  <si>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</si>
  <si>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</si>
  <si>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</si>
  <si>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</si>
  <si>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</si>
  <si>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</si>
  <si>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</si>
  <si>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</si>
  <si>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</si>
  <si>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</si>
  <si>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</si>
  <si>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</si>
  <si>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</si>
  <si>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</si>
  <si>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</si>
  <si>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</si>
  <si>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</si>
  <si>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</si>
  <si>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</si>
  <si>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</si>
  <si>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</si>
  <si>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</si>
  <si>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</si>
  <si>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</si>
  <si>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</si>
  <si>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</si>
  <si>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</si>
  <si>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</si>
  <si>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</si>
  <si>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</si>
  <si>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</si>
  <si>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</si>
  <si>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</si>
  <si>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</si>
  <si>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</si>
  <si>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</si>
  <si>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</si>
  <si>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</si>
  <si>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</si>
  <si>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</si>
  <si>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</si>
  <si>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</si>
  <si>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</si>
  <si>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</si>
  <si>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</si>
  <si>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</si>
  <si>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</si>
  <si>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</si>
  <si>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</si>
  <si>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</si>
  <si>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</si>
  <si>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</si>
  <si>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</si>
  <si>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</si>
  <si>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</si>
  <si>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</si>
  <si>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</si>
  <si>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</si>
  <si>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</si>
  <si>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</si>
  <si>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</si>
  <si>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</si>
  <si>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</si>
  <si>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</si>
  <si>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</si>
  <si>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</si>
  <si>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</si>
  <si>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</si>
  <si>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</si>
  <si>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</si>
  <si>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</si>
  <si>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</si>
  <si>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</si>
  <si>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</si>
  <si>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</si>
  <si>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</si>
  <si>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</si>
  <si>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</si>
  <si>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</si>
  <si>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</si>
  <si>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</si>
  <si>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</si>
  <si>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</si>
  <si>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</si>
  <si>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</si>
  <si>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</si>
  <si>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</si>
  <si>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</si>
  <si>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</si>
  <si>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</si>
  <si>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</si>
  <si>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</si>
  <si>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</si>
  <si>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</si>
  <si>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</si>
  <si>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</si>
  <si>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</si>
  <si>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</si>
  <si>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</si>
  <si>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</si>
  <si>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</si>
  <si>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</si>
  <si>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</si>
  <si>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</si>
  <si>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</si>
  <si>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</si>
  <si>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</si>
  <si>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</si>
  <si>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</si>
  <si>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</si>
  <si>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</si>
  <si>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</si>
  <si>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</si>
  <si>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</si>
  <si>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</si>
  <si>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</si>
  <si>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</si>
  <si>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</si>
  <si>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</si>
  <si>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</si>
  <si>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</si>
  <si>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</si>
  <si>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</si>
  <si>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</si>
  <si>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</si>
  <si>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</si>
  <si>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</si>
  <si>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</si>
  <si>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</si>
  <si>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</si>
  <si>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</si>
  <si>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</si>
  <si>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</si>
  <si>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</si>
  <si>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</si>
  <si>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</si>
  <si>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</si>
  <si>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</si>
  <si>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</si>
  <si>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</si>
  <si>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</si>
  <si>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</si>
  <si>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</si>
  <si>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</si>
  <si>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</si>
  <si>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</si>
  <si>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</si>
  <si>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</si>
  <si>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</si>
  <si>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</si>
  <si>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</si>
  <si>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</si>
  <si>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</si>
  <si>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</si>
  <si>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</si>
  <si>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</si>
  <si>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</si>
  <si>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</si>
  <si>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</si>
  <si>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</si>
  <si>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</si>
  <si>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</si>
  <si>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</si>
  <si>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</si>
  <si>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</si>
  <si>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</si>
  <si>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</si>
  <si>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</si>
  <si>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</si>
  <si>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</si>
  <si>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</si>
  <si>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</si>
  <si>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</si>
  <si>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</si>
  <si>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</si>
  <si>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</si>
  <si>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</si>
  <si>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</si>
  <si>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</si>
  <si>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</si>
  <si>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</si>
  <si>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</si>
  <si>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</si>
  <si>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</si>
  <si>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</si>
  <si>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</si>
  <si>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</si>
  <si>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</si>
  <si>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</si>
  <si>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</si>
  <si>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</si>
  <si>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</si>
  <si>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</si>
  <si>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</si>
  <si>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</si>
  <si>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</si>
  <si>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</si>
  <si>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</si>
  <si>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</si>
  <si>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</si>
  <si>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</si>
  <si>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</si>
  <si>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</si>
  <si>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</si>
  <si>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</si>
  <si>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</si>
  <si>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</si>
  <si>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</si>
  <si>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</si>
  <si>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</si>
  <si>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</si>
  <si>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</si>
  <si>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</si>
  <si>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</si>
  <si>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</si>
  <si>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</si>
  <si>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</si>
  <si>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</si>
  <si>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</si>
  <si>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</si>
  <si>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</si>
  <si>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</si>
  <si>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</si>
  <si>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</si>
  <si>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</si>
  <si>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</si>
  <si>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</si>
  <si>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</si>
  <si>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</si>
  <si>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</si>
  <si>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</si>
  <si>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</si>
  <si>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</si>
  <si>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</si>
  <si>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</si>
  <si>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</si>
  <si>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</si>
  <si>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</si>
  <si>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</si>
  <si>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</si>
  <si>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</si>
  <si>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</si>
  <si>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</si>
  <si>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</si>
  <si>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</si>
  <si>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</si>
  <si>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</si>
  <si>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</si>
  <si>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</si>
  <si>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</si>
  <si>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</si>
  <si>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</si>
  <si>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</si>
  <si>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</si>
  <si>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</si>
  <si>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</si>
  <si>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</si>
  <si>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</si>
  <si>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</si>
  <si>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</si>
  <si>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</si>
  <si>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</si>
  <si>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</si>
  <si>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</si>
  <si>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</si>
  <si>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</si>
  <si>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</si>
  <si>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</si>
  <si>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</si>
  <si>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</si>
  <si>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</si>
  <si>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</si>
  <si>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</si>
  <si>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</si>
  <si>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</si>
  <si>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</si>
  <si>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</si>
  <si>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</si>
  <si>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</si>
  <si>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</si>
  <si>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</si>
  <si>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</si>
  <si>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</si>
  <si>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</si>
  <si>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</si>
  <si>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</si>
  <si>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</si>
  <si>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</si>
  <si>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</si>
  <si>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</si>
  <si>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</si>
  <si>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</si>
  <si>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</si>
  <si>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</si>
  <si>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</si>
  <si>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</si>
  <si>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</si>
  <si>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</si>
  <si>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</si>
  <si>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</si>
  <si>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</si>
  <si>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</si>
  <si>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</si>
  <si>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</si>
  <si>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</si>
  <si>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</si>
  <si>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</si>
  <si>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</si>
  <si>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</si>
  <si>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</si>
  <si>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</si>
  <si>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</si>
  <si>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</si>
  <si>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</si>
  <si>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</si>
  <si>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</si>
  <si>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</si>
  <si>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</si>
  <si>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</si>
  <si>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</si>
  <si>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</si>
  <si>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</si>
  <si>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</si>
  <si>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</si>
  <si>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</si>
  <si>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</si>
  <si>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</si>
  <si>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</si>
  <si>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</si>
  <si>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</si>
  <si>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</si>
  <si>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</si>
  <si>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</si>
  <si>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</si>
  <si>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</si>
  <si>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</si>
  <si>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</si>
  <si>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</si>
  <si>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</si>
  <si>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</si>
  <si>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</si>
  <si>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</si>
  <si>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</si>
  <si>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</si>
  <si>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</si>
  <si>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</si>
  <si>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</si>
  <si>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</si>
  <si>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</si>
  <si>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</si>
  <si>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</si>
  <si>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</si>
  <si>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</si>
  <si>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</si>
  <si>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</si>
  <si>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</si>
  <si>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</si>
  <si>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</si>
  <si>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</si>
  <si>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</si>
  <si>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</si>
  <si>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</si>
  <si>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</si>
  <si>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</si>
  <si>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</si>
  <si>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</si>
  <si>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</si>
  <si>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</si>
  <si>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</si>
  <si>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</si>
  <si>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</si>
  <si>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</si>
  <si>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</si>
  <si>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</si>
  <si>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</si>
  <si>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</si>
  <si>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</si>
  <si>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</si>
  <si>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</si>
  <si>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</si>
  <si>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</si>
  <si>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</si>
  <si>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</si>
  <si>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</si>
  <si>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</si>
  <si>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</si>
  <si>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</si>
  <si>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</si>
  <si>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</si>
  <si>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</si>
  <si>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</si>
  <si>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</si>
  <si>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</si>
  <si>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</si>
  <si>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</si>
  <si>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</si>
  <si>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</si>
  <si>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</si>
  <si>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</si>
  <si>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</si>
  <si>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</si>
  <si>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</si>
  <si>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</si>
  <si>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</si>
  <si>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</si>
  <si>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</si>
  <si>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</si>
  <si>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</si>
  <si>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</si>
  <si>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</si>
  <si>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</si>
  <si>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</si>
  <si>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</si>
  <si>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</si>
  <si>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</si>
  <si>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</si>
  <si>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</si>
  <si>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</si>
  <si>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</si>
  <si>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</si>
  <si>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</si>
  <si>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</si>
  <si>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</si>
  <si>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</si>
  <si>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</si>
  <si>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</si>
  <si>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</si>
  <si>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</si>
  <si>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</si>
  <si>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</si>
  <si>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</si>
  <si>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</si>
  <si>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</si>
  <si>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</si>
  <si>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</si>
  <si>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</si>
  <si>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</si>
  <si>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</si>
  <si>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</si>
  <si>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</si>
  <si>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</si>
  <si>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</si>
  <si>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</si>
  <si>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</si>
  <si>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</si>
  <si>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</si>
  <si>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</si>
  <si>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</si>
  <si>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</si>
  <si>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</si>
  <si>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</si>
  <si>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</si>
  <si>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</si>
  <si>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</si>
  <si>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</si>
  <si>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</si>
  <si>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</si>
  <si>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</si>
  <si>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</si>
  <si>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</si>
  <si>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</si>
  <si>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</si>
  <si>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</si>
  <si>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</si>
  <si>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</si>
  <si>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</si>
  <si>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</si>
  <si>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</si>
  <si>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</si>
  <si>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</si>
  <si>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</si>
  <si>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</si>
  <si>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</si>
  <si>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</si>
  <si>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</si>
  <si>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</si>
  <si>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</si>
  <si>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</si>
  <si>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</si>
  <si>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</si>
  <si>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</si>
  <si>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</si>
  <si>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</si>
  <si>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</si>
  <si>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</si>
  <si>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</si>
  <si>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</si>
  <si>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</si>
  <si>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</si>
  <si>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</si>
  <si>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</si>
  <si>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</si>
  <si>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</si>
  <si>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</si>
  <si>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</si>
  <si>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</si>
  <si>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</si>
  <si>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</si>
  <si>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</si>
  <si>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</si>
  <si>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</si>
  <si>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</si>
  <si>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</si>
  <si>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</si>
  <si>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</si>
  <si>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</si>
  <si>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</si>
  <si>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</si>
  <si>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</si>
  <si>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</si>
  <si>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</si>
  <si>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</si>
  <si>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</si>
  <si>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</si>
  <si>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</si>
  <si>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</si>
  <si>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</si>
  <si>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</si>
  <si>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</si>
  <si>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</si>
  <si>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</si>
  <si>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</si>
  <si>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</si>
  <si>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</si>
  <si>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</si>
  <si>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</si>
  <si>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</si>
  <si>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</si>
  <si>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</si>
  <si>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</si>
  <si>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</si>
  <si>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</si>
  <si>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</si>
  <si>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</si>
  <si>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</si>
  <si>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</si>
  <si>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</si>
  <si>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</si>
  <si>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</si>
  <si>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</si>
  <si>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</si>
  <si>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</si>
  <si>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</si>
  <si>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</si>
  <si>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</si>
  <si>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</si>
  <si>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</si>
  <si>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</si>
  <si>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</si>
  <si>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</si>
  <si>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</si>
  <si>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</si>
  <si>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</si>
  <si>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</si>
  <si>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</si>
  <si>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</si>
  <si>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</si>
  <si>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</si>
  <si>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</si>
  <si>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</si>
  <si>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</si>
  <si>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</si>
  <si>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</si>
  <si>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</si>
  <si>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</si>
  <si>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</si>
  <si>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</si>
  <si>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</si>
  <si>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</si>
  <si>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</si>
  <si>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</si>
  <si>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</si>
  <si>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</si>
  <si>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</si>
  <si>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</si>
  <si>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</si>
  <si>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</si>
  <si>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</si>
  <si>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</si>
  <si>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</si>
  <si>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</si>
  <si>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</si>
  <si>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</si>
  <si>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</si>
  <si>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</si>
  <si>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</si>
  <si>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</si>
  <si>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</si>
  <si>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</si>
  <si>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</si>
  <si>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</si>
  <si>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</si>
  <si>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</si>
  <si>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</si>
  <si>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</si>
  <si>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</si>
  <si>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</si>
  <si>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</si>
  <si>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</si>
  <si>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</si>
  <si>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</si>
  <si>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</si>
  <si>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</si>
  <si>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</si>
  <si>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</si>
  <si>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</si>
  <si>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</si>
  <si>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</si>
  <si>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</si>
  <si>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</si>
  <si>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</si>
  <si>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</si>
  <si>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</si>
  <si>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</si>
  <si>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</si>
  <si>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</si>
  <si>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</si>
  <si>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</si>
  <si>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</si>
  <si>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</si>
  <si>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</si>
  <si>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</si>
  <si>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</si>
  <si>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</si>
  <si>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</si>
  <si>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</si>
  <si>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</si>
  <si>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</si>
  <si>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</si>
  <si>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</si>
  <si>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</si>
  <si>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</si>
  <si>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</si>
  <si>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</si>
  <si>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</si>
  <si>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</si>
  <si>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</si>
  <si>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</si>
  <si>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</si>
  <si>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</si>
  <si>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</si>
  <si>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</si>
  <si>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</si>
  <si>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</si>
  <si>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</si>
  <si>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</si>
  <si>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</si>
  <si>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</si>
  <si>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</si>
  <si>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</si>
  <si>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</si>
  <si>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</si>
  <si>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</si>
  <si>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</si>
  <si>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</si>
  <si>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</si>
  <si>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</si>
  <si>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</si>
  <si>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</si>
  <si>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</si>
  <si>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</si>
  <si>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</si>
  <si>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</si>
  <si>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</si>
  <si>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</si>
  <si>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</si>
  <si>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</si>
  <si>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</si>
  <si>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</si>
  <si>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</si>
  <si>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</si>
  <si>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</si>
  <si>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</si>
  <si>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</si>
  <si>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</si>
  <si>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</si>
  <si>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</si>
  <si>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</si>
  <si>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</si>
  <si>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</si>
  <si>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</si>
  <si>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</si>
  <si>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</si>
  <si>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</si>
  <si>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</si>
  <si>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</si>
  <si>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</si>
  <si>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</si>
  <si>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</si>
  <si>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</si>
  <si>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</si>
  <si>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</si>
  <si>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</si>
  <si>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</si>
  <si>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</si>
  <si>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</si>
  <si>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</si>
  <si>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</si>
  <si>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</si>
  <si>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</si>
  <si>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</si>
  <si>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</si>
  <si>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</si>
  <si>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</si>
  <si>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</si>
  <si>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</si>
  <si>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</si>
  <si>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</si>
  <si>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</si>
  <si>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</si>
  <si>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</si>
  <si>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</si>
  <si>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</si>
  <si>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</si>
  <si>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</si>
  <si>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</si>
  <si>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</si>
  <si>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</si>
  <si>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</si>
  <si>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</si>
  <si>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</si>
  <si>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</si>
  <si>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</si>
  <si>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</si>
  <si>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</si>
  <si>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</si>
  <si>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</si>
  <si>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</si>
  <si>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</si>
  <si>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</si>
  <si>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</si>
  <si>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</si>
  <si>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</si>
  <si>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</si>
  <si>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</si>
  <si>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</si>
  <si>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</si>
  <si>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</si>
  <si>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</si>
  <si>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</si>
  <si>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</si>
  <si>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</si>
  <si>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</si>
  <si>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</si>
  <si>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</si>
  <si>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</si>
  <si>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</si>
  <si>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</si>
  <si>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</si>
  <si>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</si>
  <si>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</si>
  <si>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</si>
  <si>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</si>
  <si>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</si>
  <si>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</si>
  <si>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</si>
  <si>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</si>
  <si>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</si>
  <si>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</si>
  <si>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</si>
  <si>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</si>
  <si>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</si>
  <si>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</si>
  <si>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</si>
  <si>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</si>
  <si>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</si>
  <si>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</si>
  <si>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</si>
  <si>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</si>
  <si>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</si>
  <si>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</si>
  <si>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</si>
  <si>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</si>
  <si>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</si>
  <si>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</si>
  <si>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</si>
  <si>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</si>
  <si>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</si>
  <si>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</si>
  <si>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</si>
  <si>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</si>
  <si>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</si>
  <si>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</si>
  <si>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</si>
  <si>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</si>
  <si>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</si>
  <si>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</si>
  <si>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</si>
  <si>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</si>
  <si>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</si>
  <si>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</si>
  <si>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</si>
  <si>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</si>
  <si>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</si>
  <si>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</si>
  <si>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</si>
  <si>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</si>
  <si>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</si>
  <si>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</si>
  <si>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</si>
  <si>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</si>
  <si>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</si>
  <si>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</si>
  <si>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</si>
  <si>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</si>
  <si>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</si>
  <si>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</si>
  <si>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</si>
  <si>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</si>
  <si>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</si>
  <si>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</si>
  <si>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</si>
  <si>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</si>
  <si>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</si>
  <si>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</si>
  <si>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 Sylvie Dal Degan</t>
  </si>
  <si>
    <t xml:space="preserve">conforme AFNOR T90-395 oct. 2003</t>
  </si>
  <si>
    <t xml:space="preserve">Aude</t>
  </si>
  <si>
    <t xml:space="preserve">Salles d'Aude</t>
  </si>
  <si>
    <t xml:space="preserve">06180900</t>
  </si>
  <si>
    <t xml:space="preserve">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</si>
  <si>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</si>
  <si>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</si>
  <si>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</si>
  <si>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</si>
  <si>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</si>
  <si>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</si>
  <si>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</si>
  <si>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lentique</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</si>
  <si>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</si>
  <si>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</si>
  <si>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</si>
  <si>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</si>
  <si>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</si>
  <si>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</si>
  <si>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</si>
  <si>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</si>
  <si>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</si>
  <si>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</si>
  <si>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</si>
  <si>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</si>
  <si>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</si>
  <si>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</si>
  <si>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</si>
  <si>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</si>
  <si>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</si>
  <si>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</si>
  <si>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</si>
  <si>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</si>
  <si>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</si>
  <si>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</si>
  <si>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</si>
  <si>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</si>
  <si>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</si>
  <si>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</si>
  <si>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</si>
  <si>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</si>
  <si>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</si>
  <si>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</si>
  <si>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</si>
  <si>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</si>
  <si>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</si>
  <si>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</si>
  <si>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</si>
  <si>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</si>
  <si>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</si>
  <si>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</si>
  <si>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</si>
  <si>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</si>
  <si>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(6,225 %)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</si>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</sst>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68760</xdr:rowOff>
    </xdr:from>
    <xdr:to>
      <xdr:col>7</xdr:col>
      <xdr:colOff>454320</xdr:colOff>
      <xdr:row>38</xdr:row>
      <xdr:rowOff>68400</xdr:rowOff>
    </xdr:to>
    <xdr:sp>
      <xdr:nvSpPr>
        <xdr:cNvPr id="3" name="Text Box 1"/>
        <xdr:cNvSpPr/>
      </xdr:nvSpPr>
      <xdr:spPr>
        <a:xfrm>
          <a:off x="133200" y="6111360"/>
          <a:ext cx="5971320" cy="33516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41541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8.45454545454546</v>
      </c>
      <c r="M5" s="323"/>
      <c r="N5" s="324" t="s">
        <v>228</v>
      </c>
      <c r="O5" s="325" t="n">
        <v>8</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7.31818181818182</v>
      </c>
      <c r="O8" s="354" t="n">
        <f aca="false">IF(ISERROR(AVERAGE(J23:J82)),"      -",AVERAGE(J23:J82))</f>
        <v>1.40909090909091</v>
      </c>
      <c r="P8" s="355"/>
      <c r="Q8" s="280"/>
      <c r="R8" s="280"/>
      <c r="S8" s="280"/>
      <c r="T8" s="280"/>
      <c r="U8" s="280"/>
      <c r="V8" s="280"/>
      <c r="W8" s="292"/>
      <c r="X8" s="293"/>
    </row>
    <row r="9" customFormat="false" ht="13.8" hidden="false" customHeight="false" outlineLevel="0" collapsed="false">
      <c r="A9" s="313" t="s">
        <v>2634</v>
      </c>
      <c r="B9" s="356" t="n">
        <v>6.22</v>
      </c>
      <c r="C9" s="357"/>
      <c r="D9" s="358"/>
      <c r="E9" s="358"/>
      <c r="F9" s="359" t="n">
        <f aca="false">($B9*$B$7+$C9*$C$7)/100</f>
        <v>6.22</v>
      </c>
      <c r="G9" s="360"/>
      <c r="H9" s="361"/>
      <c r="I9" s="362"/>
      <c r="J9" s="363"/>
      <c r="K9" s="343"/>
      <c r="L9" s="364"/>
      <c r="M9" s="353" t="s">
        <v>2635</v>
      </c>
      <c r="N9" s="354" t="n">
        <f aca="false">IF(ISERROR(STDEVP(I23:I82)),"     -",STDEVP(I23:I82))</f>
        <v>4.39407000850799</v>
      </c>
      <c r="O9" s="354" t="n">
        <f aca="false">IF(ISERROR(STDEVP(J23:J82)),"      -",STDEVP(J23:J82))</f>
        <v>0.887237331633779</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14</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8</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1</v>
      </c>
      <c r="L13" s="386"/>
      <c r="M13" s="397" t="s">
        <v>2647</v>
      </c>
      <c r="N13" s="398" t="n">
        <f aca="false">COUNTIF(F23:F82,"&gt;0")</f>
        <v>25</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22</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13</v>
      </c>
      <c r="L15" s="386"/>
      <c r="M15" s="407" t="s">
        <v>2653</v>
      </c>
      <c r="N15" s="408" t="n">
        <f aca="false">COUNTIF(J23:J82,"=1")</f>
        <v>7</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9</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6.225</v>
      </c>
      <c r="C20" s="436" t="n">
        <f aca="false">SUM(C23:C82)</f>
        <v>0</v>
      </c>
      <c r="D20" s="437"/>
      <c r="E20" s="438" t="s">
        <v>2659</v>
      </c>
      <c r="F20" s="439" t="n">
        <f aca="false">($B20*$B$7+$C20*$C$7)/100</f>
        <v>6.225</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6.225</v>
      </c>
      <c r="C21" s="449" t="n">
        <f aca="false">C20*C7/100</f>
        <v>0</v>
      </c>
      <c r="D21" s="381" t="str">
        <f aca="false">IF(F21=0,"",IF((ABS(F21-F19))&gt;(0.2*F21),CONCATENATE(" rec. par taxa (",F21," %) supérieur à 20 % !"),""))</f>
        <v> rec. par taxa (6,225 %) supérieur à 20 % !</v>
      </c>
      <c r="E21" s="450" t="str">
        <f aca="false">IF(F21=0,"",IF((ABS(F21-F19))&gt;(0.2*F21),CONCATENATE("ATTENTION : écart entre rec. par grp (",F19," %) ","et",""),""))</f>
        <v>ATTENTION : écart entre rec. par grp (0 %) et</v>
      </c>
      <c r="F21" s="451" t="n">
        <f aca="false">B21+C21</f>
        <v>6.225</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59</v>
      </c>
      <c r="B23" s="475" t="n">
        <v>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3.2" hidden="false" customHeight="false" outlineLevel="0" collapsed="false">
      <c r="A24" s="493" t="s">
        <v>122</v>
      </c>
      <c r="B24" s="494" t="n">
        <v>0.61</v>
      </c>
      <c r="C24" s="495"/>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0.61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0.61</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3.2" hidden="false" customHeight="false" outlineLevel="0" collapsed="false">
      <c r="A25" s="493" t="s">
        <v>124</v>
      </c>
      <c r="B25" s="494" t="n">
        <v>0.05</v>
      </c>
      <c r="C25" s="495"/>
      <c r="D25" s="477" t="str">
        <f aca="false">IF(ISERROR(VLOOKUP($A25,'liste reference'!$A$7:$D$904,2,0)),IF(ISERROR(VLOOKUP($A25,'liste reference'!$B$7:$D$904,1,0)),"",VLOOKUP($A25,'liste reference'!$B$7:$D$904,1,0)),VLOOKUP($A25,'liste reference'!$A$7:$D$904,2,0))</f>
        <v>Compsopogon sp.</v>
      </c>
      <c r="E25" s="496" t="e">
        <f aca="false">IF(D25="",0,VLOOKUP(D25,D$22:D24,1,0))</f>
        <v>#N/A</v>
      </c>
      <c r="F25" s="497" t="n">
        <f aca="false">($B25*$B$7+$C25*$C$7)/100</f>
        <v>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0</v>
      </c>
      <c r="J25" s="481" t="n">
        <f aca="false">IF(ISNUMBER(H25),IF(ISERROR(VLOOKUP($A25,'liste reference'!$A$7:$P$904,4,0)),IF(ISERROR(VLOOKUP($A25,'liste reference'!$B$7:$P$904,3,0)),"",VLOOKUP($A25,'liste reference'!$B$7:$P$904,3,0)),VLOOKUP($A25,'liste reference'!$A$7:$P$904,4,0)),"")</f>
        <v>0</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Compsopogon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6071</v>
      </c>
      <c r="Q25" s="486" t="n">
        <f aca="false">IF(ISTEXT(H25),"",(B25*$B$7/100)+(C25*$C$7/100))</f>
        <v>0.05</v>
      </c>
      <c r="R25" s="487" t="n">
        <f aca="false">IF(OR(ISTEXT(H25),Q25=0),"",IF(Q25&lt;0.1,1,IF(Q25&lt;1,2,IF(Q25&lt;10,3,IF(Q25&lt;50,4,IF(Q25&gt;=50,5,""))))))</f>
        <v>1</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COMSPX</v>
      </c>
      <c r="Z25" s="280" t="n">
        <f aca="false">IF(ISERROR(MATCH(A25,'liste reference'!$A$8:$A$904,0)),IF(ISERROR(MATCH(A25,'liste reference'!$B$8:$B$904,0)),"",(MATCH(A25,'liste reference'!$B$8:$B$904,0))),(MATCH(A25,'liste reference'!$A$8:$A$904,0)))</f>
        <v>24</v>
      </c>
      <c r="AA25" s="491"/>
      <c r="AB25" s="492"/>
      <c r="AC25" s="492"/>
      <c r="BB25" s="280" t="n">
        <f aca="false">IF(A25="","",1)</f>
        <v>1</v>
      </c>
    </row>
    <row r="26" customFormat="false" ht="13.2" hidden="false" customHeight="false" outlineLevel="0" collapsed="false">
      <c r="A26" s="493" t="s">
        <v>223</v>
      </c>
      <c r="B26" s="494" t="n">
        <v>0.05</v>
      </c>
      <c r="C26" s="495"/>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0.05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0.05</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3.2" hidden="false" customHeight="false" outlineLevel="0" collapsed="false">
      <c r="A27" s="493" t="s">
        <v>226</v>
      </c>
      <c r="B27" s="494" t="n">
        <v>0.005</v>
      </c>
      <c r="C27" s="495"/>
      <c r="D27" s="477" t="str">
        <f aca="false">IF(ISERROR(VLOOKUP($A27,'liste reference'!$A$7:$D$904,2,0)),IF(ISERROR(VLOOKUP($A27,'liste reference'!$B$7:$D$904,1,0)),"",VLOOKUP($A27,'liste reference'!$B$7:$D$904,1,0)),VLOOKUP($A27,'liste reference'!$A$7:$D$904,2,0))</f>
        <v>Oscillatoria sp.</v>
      </c>
      <c r="E27" s="496" t="e">
        <f aca="false">IF(D27="",0,VLOOKUP(D27,D$19:D22,1,0))</f>
        <v>#N/A</v>
      </c>
      <c r="F27" s="497" t="n">
        <f aca="false">($B27*$B$7+$C27*$C$7)/100</f>
        <v>0.005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11</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1108</v>
      </c>
      <c r="Q27" s="486" t="n">
        <f aca="false">IF(ISTEXT(H27),"",(B27*$B$7/100)+(C27*$C$7/100))</f>
        <v>0.005</v>
      </c>
      <c r="R27" s="487" t="n">
        <f aca="false">IF(OR(ISTEXT(H27),Q27=0),"",IF(Q27&lt;0.1,1,IF(Q27&lt;1,2,IF(Q27&lt;10,3,IF(Q27&lt;50,4,IF(Q27&gt;=50,5,""))))))</f>
        <v>1</v>
      </c>
      <c r="S27" s="487" t="n">
        <f aca="false">IF(ISERROR(R27*I27),0,R27*I27)</f>
        <v>11</v>
      </c>
      <c r="T27" s="487" t="n">
        <f aca="false">IF(ISERROR(R27*I27*J27),0,R27*I27*J27)</f>
        <v>11</v>
      </c>
      <c r="U27" s="499" t="n">
        <f aca="false">IF(ISERROR(R27*J27),0,R27*J27)</f>
        <v>1</v>
      </c>
      <c r="V27" s="488" t="str">
        <f aca="false">IF(AND(A27="",F27=0),"",IF(F27=0,"Il manque le(s) % de rec. !",""))</f>
        <v/>
      </c>
      <c r="W27" s="489"/>
      <c r="Y27" s="490" t="str">
        <f aca="false">IF(A27="new.cod","NEWCOD",IF(AND((Z27=""),ISTEXT(A27)),A27,IF(Z27="","",INDEX('liste reference'!$A$8:$A$904,Z27))))</f>
        <v>OSCSPX</v>
      </c>
      <c r="Z27" s="280" t="n">
        <f aca="false">IF(ISERROR(MATCH(A27,'liste reference'!$A$8:$A$904,0)),IF(ISERROR(MATCH(A27,'liste reference'!$B$8:$B$904,0)),"",(MATCH(A27,'liste reference'!$B$8:$B$904,0))),(MATCH(A27,'liste reference'!$A$8:$A$904,0)))</f>
        <v>56</v>
      </c>
      <c r="AA27" s="491"/>
      <c r="AB27" s="492"/>
      <c r="AC27" s="492"/>
      <c r="BB27" s="280" t="n">
        <f aca="false">IF(A27="","",1)</f>
        <v>1</v>
      </c>
    </row>
    <row r="28" customFormat="false" ht="13.2" hidden="false" customHeight="false" outlineLevel="0" collapsed="false">
      <c r="A28" s="493" t="s">
        <v>228</v>
      </c>
      <c r="B28" s="494" t="n">
        <v>0.47</v>
      </c>
      <c r="C28" s="495"/>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0.47</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0.47</v>
      </c>
      <c r="R28" s="487" t="n">
        <f aca="false">IF(OR(ISTEXT(H28),Q28=0),"",IF(Q28&lt;0.1,1,IF(Q28&lt;1,2,IF(Q28&lt;10,3,IF(Q28&lt;50,4,IF(Q28&gt;=50,5,""))))))</f>
        <v>2</v>
      </c>
      <c r="S28" s="487" t="n">
        <f aca="false">IF(ISERROR(R28*I28),0,R28*I28)</f>
        <v>26</v>
      </c>
      <c r="T28" s="487" t="n">
        <f aca="false">IF(ISERROR(R28*I28*J28),0,R28*I28*J28)</f>
        <v>52</v>
      </c>
      <c r="U28" s="499" t="n">
        <f aca="false">IF(ISERROR(R28*J28),0,R28*J28)</f>
        <v>4</v>
      </c>
      <c r="V28" s="488" t="str">
        <f aca="false">IF(AND(A28="",F28=0),"",IF(F28=0,"Il manque le(s) % de rec. !",""))</f>
        <v/>
      </c>
      <c r="W28" s="489"/>
      <c r="X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3.2" hidden="false" customHeight="false" outlineLevel="0" collapsed="false">
      <c r="A29" s="493" t="s">
        <v>258</v>
      </c>
      <c r="B29" s="494" t="n">
        <v>0.09</v>
      </c>
      <c r="C29" s="495"/>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0.09</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0.09</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3.2" hidden="false" customHeight="false" outlineLevel="0" collapsed="false">
      <c r="A30" s="493" t="s">
        <v>272</v>
      </c>
      <c r="B30" s="494" t="n">
        <v>0.005</v>
      </c>
      <c r="C30" s="495"/>
      <c r="D30" s="477" t="str">
        <f aca="false">IF(ISERROR(VLOOKUP($A30,'liste reference'!$A$7:$D$904,2,0)),IF(ISERROR(VLOOKUP($A30,'liste reference'!$B$7:$D$904,1,0)),"",VLOOKUP($A30,'liste reference'!$B$7:$D$904,1,0)),VLOOKUP($A30,'liste reference'!$A$7:$D$904,2,0))</f>
        <v>Thorea sp.</v>
      </c>
      <c r="E30" s="496" t="e">
        <f aca="false">IF(D30="",0,VLOOKUP(D30,D$22:D29,1,0))</f>
        <v>#N/A</v>
      </c>
      <c r="F30" s="497" t="n">
        <f aca="false">($B30*$B$7+$C30*$C$7)/100</f>
        <v>0.005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14</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Thorea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6085</v>
      </c>
      <c r="Q30" s="486" t="n">
        <f aca="false">IF(ISTEXT(H30),"",(B30*$B$7/100)+(C30*$C$7/100))</f>
        <v>0.005</v>
      </c>
      <c r="R30" s="487" t="n">
        <f aca="false">IF(OR(ISTEXT(H30),Q30=0),"",IF(Q30&lt;0.1,1,IF(Q30&lt;1,2,IF(Q30&lt;10,3,IF(Q30&lt;50,4,IF(Q30&gt;=50,5,""))))))</f>
        <v>1</v>
      </c>
      <c r="S30" s="487" t="n">
        <f aca="false">IF(ISERROR(R30*I30),0,R30*I30)</f>
        <v>14</v>
      </c>
      <c r="T30" s="487" t="n">
        <f aca="false">IF(ISERROR(R30*I30*J30),0,R30*I30*J30)</f>
        <v>42</v>
      </c>
      <c r="U30" s="499" t="n">
        <f aca="false">IF(ISERROR(R30*J30),0,R30*J30)</f>
        <v>3</v>
      </c>
      <c r="V30" s="488" t="str">
        <f aca="false">IF(AND(A30="",F30=0),"",IF(F30=0,"Il manque le(s) % de rec. !",""))</f>
        <v/>
      </c>
      <c r="W30" s="489"/>
      <c r="Y30" s="490" t="str">
        <f aca="false">IF(A30="new.cod","NEWCOD",IF(AND((Z30=""),ISTEXT(A30)),A30,IF(Z30="","",INDEX('liste reference'!$A$8:$A$904,Z30))))</f>
        <v>THOSPX</v>
      </c>
      <c r="Z30" s="280" t="n">
        <f aca="false">IF(ISERROR(MATCH(A30,'liste reference'!$A$8:$A$904,0)),IF(ISERROR(MATCH(A30,'liste reference'!$B$8:$B$904,0)),"",(MATCH(A30,'liste reference'!$B$8:$B$904,0))),(MATCH(A30,'liste reference'!$A$8:$A$904,0)))</f>
        <v>74</v>
      </c>
      <c r="AA30" s="491"/>
      <c r="AB30" s="492"/>
      <c r="AC30" s="492"/>
      <c r="BB30" s="280" t="n">
        <f aca="false">IF(A30="","",1)</f>
        <v>1</v>
      </c>
    </row>
    <row r="31" customFormat="false" ht="13.2" hidden="false" customHeight="false" outlineLevel="0" collapsed="false">
      <c r="A31" s="493" t="s">
        <v>645</v>
      </c>
      <c r="B31" s="494" t="n">
        <v>0.005</v>
      </c>
      <c r="C31" s="495"/>
      <c r="D31" s="477" t="str">
        <f aca="false">IF(ISERROR(VLOOKUP($A31,'liste reference'!$A$7:$D$904,2,0)),IF(ISERROR(VLOOKUP($A31,'liste reference'!$B$7:$D$904,1,0)),"",VLOOKUP($A31,'liste reference'!$B$7:$D$904,1,0)),VLOOKUP($A31,'liste reference'!$A$7:$D$904,2,0))</f>
        <v>Amblystegium riparium</v>
      </c>
      <c r="E31" s="496" t="e">
        <f aca="false">IF(D31="",0,VLOOKUP(D31,D$22:D30,1,0))</f>
        <v>#N/A</v>
      </c>
      <c r="F31" s="497" t="n">
        <f aca="false">($B31*$B$7+$C31*$C$7)/100</f>
        <v>0.005</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5</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Amblystegium riparium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1219</v>
      </c>
      <c r="Q31" s="486" t="n">
        <f aca="false">IF(ISTEXT(H31),"",(B31*$B$7/100)+(C31*$C$7/100))</f>
        <v>0.005</v>
      </c>
      <c r="R31" s="487" t="n">
        <f aca="false">IF(OR(ISTEXT(H31),Q31=0),"",IF(Q31&lt;0.1,1,IF(Q31&lt;1,2,IF(Q31&lt;10,3,IF(Q31&lt;50,4,IF(Q31&gt;=50,5,""))))))</f>
        <v>1</v>
      </c>
      <c r="S31" s="487" t="n">
        <f aca="false">IF(ISERROR(R31*I31),0,R31*I31)</f>
        <v>5</v>
      </c>
      <c r="T31" s="487" t="n">
        <f aca="false">IF(ISERROR(R31*I31*J31),0,R31*I31*J31)</f>
        <v>10</v>
      </c>
      <c r="U31" s="499" t="n">
        <f aca="false">IF(ISERROR(R31*J31),0,R31*J31)</f>
        <v>2</v>
      </c>
      <c r="V31" s="488" t="str">
        <f aca="false">IF(AND(A31="",F31=0),"",IF(F31=0,"Il manque le(s) % de rec. !",""))</f>
        <v/>
      </c>
      <c r="W31" s="489"/>
      <c r="Y31" s="490" t="str">
        <f aca="false">IF(A31="new.cod","NEWCOD",IF(AND((Z31=""),ISTEXT(A31)),A31,IF(Z31="","",INDEX('liste reference'!$A$8:$A$904,Z31))))</f>
        <v>AMBRIP</v>
      </c>
      <c r="Z31" s="280" t="n">
        <f aca="false">IF(ISERROR(MATCH(A31,'liste reference'!$A$8:$A$904,0)),IF(ISERROR(MATCH(A31,'liste reference'!$B$8:$B$904,0)),"",(MATCH(A31,'liste reference'!$B$8:$B$904,0))),(MATCH(A31,'liste reference'!$A$8:$A$904,0)))</f>
        <v>148</v>
      </c>
      <c r="AA31" s="491"/>
      <c r="AB31" s="492"/>
      <c r="AC31" s="492"/>
      <c r="BB31" s="280" t="n">
        <f aca="false">IF(A31="","",1)</f>
        <v>1</v>
      </c>
    </row>
    <row r="32" customFormat="false" ht="13.2" hidden="false" customHeight="false" outlineLevel="0" collapsed="false">
      <c r="A32" s="493" t="s">
        <v>1277</v>
      </c>
      <c r="B32" s="494" t="n">
        <v>0.75</v>
      </c>
      <c r="C32" s="495"/>
      <c r="D32" s="477" t="str">
        <f aca="false">IF(ISERROR(VLOOKUP($A32,'liste reference'!$A$7:$D$904,2,0)),IF(ISERROR(VLOOKUP($A32,'liste reference'!$B$7:$D$904,1,0)),"",VLOOKUP($A32,'liste reference'!$B$7:$D$904,1,0)),VLOOKUP($A32,'liste reference'!$A$7:$D$904,2,0))</f>
        <v>Ceratophyllum demersum</v>
      </c>
      <c r="E32" s="496" t="e">
        <f aca="false">IF(D32="",0,VLOOKUP(D32,D$22:D31,1,0))</f>
        <v>#N/A</v>
      </c>
      <c r="F32" s="497" t="n">
        <f aca="false">($B32*$B$7+$C32*$C$7)/100</f>
        <v>0.75</v>
      </c>
      <c r="G32" s="479" t="str">
        <f aca="false">IF(A32="","",IF(ISERROR(VLOOKUP($A32,'liste reference'!$A$7:$P$904,13,0)),IF(ISERROR(VLOOKUP($A32,'liste reference'!$B$7:$P$904,12,0)),"    -",VLOOKUP($A32,'liste reference'!$B$7:$P$904,12,0)),VLOOKUP($A32,'liste reference'!$A$7:$P$904,13,0)))</f>
        <v>PHy</v>
      </c>
      <c r="H32" s="480" t="n">
        <f aca="false">IF(A32="","x",IF(ISERROR(VLOOKUP($A32,'liste reference'!$A$8:$P$904,14,0)),IF(ISERROR(VLOOKUP($A32,'liste reference'!$B$8:$P$904,13,0)),"x",VLOOKUP($A32,'liste reference'!$B$8:$P$904,13,0)),VLOOKUP($A32,'liste reference'!$A$8:$P$904,14,0)))</f>
        <v>7</v>
      </c>
      <c r="I32" s="481" t="n">
        <f aca="false">IF(ISNUMBER(H32),IF(ISERROR(VLOOKUP($A32,'liste reference'!$A$7:$P$904,3,0)),IF(ISERROR(VLOOKUP($A32,'liste reference'!$B$7:$P$904,2,0)),"",VLOOKUP($A32,'liste reference'!$B$7:$P$904,2,0)),VLOOKUP($A32,'liste reference'!$A$7:$P$904,3,0)),"")</f>
        <v>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Ceratophyllum demersum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1717</v>
      </c>
      <c r="Q32" s="486" t="n">
        <f aca="false">IF(ISTEXT(H32),"",(B32*$B$7/100)+(C32*$C$7/100))</f>
        <v>0.75</v>
      </c>
      <c r="R32" s="487" t="n">
        <f aca="false">IF(OR(ISTEXT(H32),Q32=0),"",IF(Q32&lt;0.1,1,IF(Q32&lt;1,2,IF(Q32&lt;10,3,IF(Q32&lt;50,4,IF(Q32&gt;=50,5,""))))))</f>
        <v>2</v>
      </c>
      <c r="S32" s="487" t="n">
        <f aca="false">IF(ISERROR(R32*I32),0,R32*I32)</f>
        <v>10</v>
      </c>
      <c r="T32" s="487" t="n">
        <f aca="false">IF(ISERROR(R32*I32*J32),0,R32*I32*J32)</f>
        <v>20</v>
      </c>
      <c r="U32" s="499" t="n">
        <f aca="false">IF(ISERROR(R32*J32),0,R32*J32)</f>
        <v>4</v>
      </c>
      <c r="V32" s="488" t="str">
        <f aca="false">IF(AND(A32="",F32=0),"",IF(F32=0,"Il manque le(s) % de rec. !",""))</f>
        <v/>
      </c>
      <c r="W32" s="489"/>
      <c r="Y32" s="490" t="str">
        <f aca="false">IF(A32="new.cod","NEWCOD",IF(AND((Z32=""),ISTEXT(A32)),A32,IF(Z32="","",INDEX('liste reference'!$A$8:$A$904,Z32))))</f>
        <v>CERDEM</v>
      </c>
      <c r="Z32" s="280" t="n">
        <f aca="false">IF(ISERROR(MATCH(A32,'liste reference'!$A$8:$A$904,0)),IF(ISERROR(MATCH(A32,'liste reference'!$B$8:$B$904,0)),"",(MATCH(A32,'liste reference'!$B$8:$B$904,0))),(MATCH(A32,'liste reference'!$A$8:$A$904,0)))</f>
        <v>330</v>
      </c>
      <c r="AA32" s="491"/>
      <c r="AB32" s="492"/>
      <c r="AC32" s="492"/>
      <c r="BB32" s="280" t="n">
        <f aca="false">IF(A32="","",1)</f>
        <v>1</v>
      </c>
    </row>
    <row r="33" customFormat="false" ht="13.2" hidden="false" customHeight="false" outlineLevel="0" collapsed="false">
      <c r="A33" s="493" t="s">
        <v>1375</v>
      </c>
      <c r="B33" s="494" t="n">
        <v>0.8</v>
      </c>
      <c r="C33" s="495"/>
      <c r="D33" s="477" t="str">
        <f aca="false">IF(ISERROR(VLOOKUP($A33,'liste reference'!$A$7:$D$904,2,0)),IF(ISERROR(VLOOKUP($A33,'liste reference'!$B$7:$D$904,1,0)),"",VLOOKUP($A33,'liste reference'!$B$7:$D$904,1,0)),VLOOKUP($A33,'liste reference'!$A$7:$D$904,2,0))</f>
        <v>Myriophyllum spicatum</v>
      </c>
      <c r="E33" s="496" t="e">
        <f aca="false">IF(D33="",0,VLOOKUP(D33,D$22:D26,1,0))</f>
        <v>#N/A</v>
      </c>
      <c r="F33" s="497" t="n">
        <f aca="false">($B33*$B$7+$C33*$C$7)/100</f>
        <v>0.8</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8</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Myriophyllum spicatum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1778</v>
      </c>
      <c r="Q33" s="486" t="n">
        <f aca="false">IF(ISTEXT(H33),"",(B33*$B$7/100)+(C33*$C$7/100))</f>
        <v>0.8</v>
      </c>
      <c r="R33" s="487" t="n">
        <f aca="false">IF(OR(ISTEXT(H33),Q33=0),"",IF(Q33&lt;0.1,1,IF(Q33&lt;1,2,IF(Q33&lt;10,3,IF(Q33&lt;50,4,IF(Q33&gt;=50,5,""))))))</f>
        <v>2</v>
      </c>
      <c r="S33" s="487" t="n">
        <f aca="false">IF(ISERROR(R33*I33),0,R33*I33)</f>
        <v>16</v>
      </c>
      <c r="T33" s="487" t="n">
        <f aca="false">IF(ISERROR(R33*I33*J33),0,R33*I33*J33)</f>
        <v>32</v>
      </c>
      <c r="U33" s="499" t="n">
        <f aca="false">IF(ISERROR(R33*J33),0,R33*J33)</f>
        <v>4</v>
      </c>
      <c r="V33" s="488" t="str">
        <f aca="false">IF(AND(A33="",F33=0),"",IF(F33=0,"Il manque le(s) % de rec. !",""))</f>
        <v/>
      </c>
      <c r="W33" s="489"/>
      <c r="Y33" s="490" t="str">
        <f aca="false">IF(A33="new.cod","NEWCOD",IF(AND((Z33=""),ISTEXT(A33)),A33,IF(Z33="","",INDEX('liste reference'!$A$8:$A$904,Z33))))</f>
        <v>MYRSPI</v>
      </c>
      <c r="Z33" s="280" t="n">
        <f aca="false">IF(ISERROR(MATCH(A33,'liste reference'!$A$8:$A$904,0)),IF(ISERROR(MATCH(A33,'liste reference'!$B$8:$B$904,0)),"",(MATCH(A33,'liste reference'!$B$8:$B$904,0))),(MATCH(A33,'liste reference'!$A$8:$A$904,0)))</f>
        <v>373</v>
      </c>
      <c r="AA33" s="491"/>
      <c r="AB33" s="492"/>
      <c r="AC33" s="492"/>
      <c r="BB33" s="280" t="n">
        <f aca="false">IF(A33="","",1)</f>
        <v>1</v>
      </c>
    </row>
    <row r="34" customFormat="false" ht="13.2" hidden="false" customHeight="false" outlineLevel="0" collapsed="false">
      <c r="A34" s="493" t="s">
        <v>1477</v>
      </c>
      <c r="B34" s="494" t="n">
        <v>0.09</v>
      </c>
      <c r="C34" s="495"/>
      <c r="D34" s="477" t="str">
        <f aca="false">IF(ISERROR(VLOOKUP($A34,'liste reference'!$A$7:$D$904,2,0)),IF(ISERROR(VLOOKUP($A34,'liste reference'!$B$7:$D$904,1,0)),"",VLOOKUP($A34,'liste reference'!$B$7:$D$904,1,0)),VLOOKUP($A34,'liste reference'!$A$7:$D$904,2,0))</f>
        <v>Potamogeton nodosus</v>
      </c>
      <c r="E34" s="496" t="e">
        <f aca="false">IF(D34="",0,VLOOKUP(D34,D$22:D33,1,0))</f>
        <v>#N/A</v>
      </c>
      <c r="F34" s="500" t="n">
        <f aca="false">($B34*$B$7+$C34*$C$7)/100</f>
        <v>0.09</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4</v>
      </c>
      <c r="J34" s="481" t="n">
        <f aca="false">IF(ISNUMBER(H34),IF(ISERROR(VLOOKUP($A34,'liste reference'!$A$7:$P$904,4,0)),IF(ISERROR(VLOOKUP($A34,'liste reference'!$B$7:$P$904,3,0)),"",VLOOKUP($A34,'liste reference'!$B$7:$P$904,3,0)),VLOOKUP($A34,'liste reference'!$A$7:$P$904,4,0)),"")</f>
        <v>3</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Potamogeton nodosus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1652</v>
      </c>
      <c r="Q34" s="486" t="n">
        <f aca="false">IF(ISTEXT(H34),"",(B34*$B$7/100)+(C34*$C$7/100))</f>
        <v>0.09</v>
      </c>
      <c r="R34" s="487" t="n">
        <f aca="false">IF(OR(ISTEXT(H34),Q34=0),"",IF(Q34&lt;0.1,1,IF(Q34&lt;1,2,IF(Q34&lt;10,3,IF(Q34&lt;50,4,IF(Q34&gt;=50,5,""))))))</f>
        <v>1</v>
      </c>
      <c r="S34" s="487" t="n">
        <f aca="false">IF(ISERROR(R34*I34),0,R34*I34)</f>
        <v>4</v>
      </c>
      <c r="T34" s="487" t="n">
        <f aca="false">IF(ISERROR(R34*I34*J34),0,R34*I34*J34)</f>
        <v>12</v>
      </c>
      <c r="U34" s="499" t="n">
        <f aca="false">IF(ISERROR(R34*J34),0,R34*J34)</f>
        <v>3</v>
      </c>
      <c r="V34" s="488" t="str">
        <f aca="false">IF(AND(A34="",F34=0),"",IF(F34=0,"Il manque le(s) % de rec. !",""))</f>
        <v/>
      </c>
      <c r="W34" s="489"/>
      <c r="Y34" s="490" t="str">
        <f aca="false">IF(A34="new.cod","NEWCOD",IF(AND((Z34=""),ISTEXT(A34)),A34,IF(Z34="","",INDEX('liste reference'!$A$8:$A$904,Z34))))</f>
        <v>POTNOD</v>
      </c>
      <c r="Z34" s="280" t="n">
        <f aca="false">IF(ISERROR(MATCH(A34,'liste reference'!$A$8:$A$904,0)),IF(ISERROR(MATCH(A34,'liste reference'!$B$8:$B$904,0)),"",(MATCH(A34,'liste reference'!$B$8:$B$904,0))),(MATCH(A34,'liste reference'!$A$8:$A$904,0)))</f>
        <v>418</v>
      </c>
      <c r="AA34" s="491"/>
      <c r="AB34" s="492"/>
      <c r="AC34" s="492"/>
      <c r="BB34" s="280" t="n">
        <f aca="false">IF(A34="","",1)</f>
        <v>1</v>
      </c>
    </row>
    <row r="35" customFormat="false" ht="13.2" hidden="false" customHeight="false" outlineLevel="0" collapsed="false">
      <c r="A35" s="493" t="s">
        <v>1641</v>
      </c>
      <c r="B35" s="494" t="n">
        <v>0.52</v>
      </c>
      <c r="C35" s="495"/>
      <c r="D35" s="477" t="str">
        <f aca="false">IF(ISERROR(VLOOKUP($A35,'liste reference'!$A$7:$D$904,2,0)),IF(ISERROR(VLOOKUP($A35,'liste reference'!$B$7:$D$904,1,0)),"",VLOOKUP($A35,'liste reference'!$B$7:$D$904,1,0)),VLOOKUP($A35,'liste reference'!$A$7:$D$904,2,0))</f>
        <v>Spirodela polyrhiza</v>
      </c>
      <c r="E35" s="496" t="e">
        <f aca="false">IF(D35="",0,VLOOKUP(D35,D$22:D34,1,0))</f>
        <v>#N/A</v>
      </c>
      <c r="F35" s="500" t="n">
        <f aca="false">($B35*$B$7+$C35*$C$7)/100</f>
        <v>0.52</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6</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Spirodela polyrhiza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1630</v>
      </c>
      <c r="Q35" s="486" t="n">
        <f aca="false">IF(ISTEXT(H35),"",(B35*$B$7/100)+(C35*$C$7/100))</f>
        <v>0.52</v>
      </c>
      <c r="R35" s="487" t="n">
        <f aca="false">IF(OR(ISTEXT(H35),Q35=0),"",IF(Q35&lt;0.1,1,IF(Q35&lt;1,2,IF(Q35&lt;10,3,IF(Q35&lt;50,4,IF(Q35&gt;=50,5,""))))))</f>
        <v>2</v>
      </c>
      <c r="S35" s="487" t="n">
        <f aca="false">IF(ISERROR(R35*I35),0,R35*I35)</f>
        <v>12</v>
      </c>
      <c r="T35" s="487" t="n">
        <f aca="false">IF(ISERROR(R35*I35*J35),0,R35*I35*J35)</f>
        <v>24</v>
      </c>
      <c r="U35" s="499" t="n">
        <f aca="false">IF(ISERROR(R35*J35),0,R35*J35)</f>
        <v>4</v>
      </c>
      <c r="V35" s="488" t="str">
        <f aca="false">IF(AND(A35="",F35=0),"",IF(F35=0,"Il manque le(s) % de rec. !",""))</f>
        <v/>
      </c>
      <c r="W35" s="489"/>
      <c r="Y35" s="490" t="str">
        <f aca="false">IF(A35="new.cod","NEWCOD",IF(AND((Z35=""),ISTEXT(A35)),A35,IF(Z35="","",INDEX('liste reference'!$A$8:$A$904,Z35))))</f>
        <v>SPRPOL</v>
      </c>
      <c r="Z35" s="280" t="n">
        <f aca="false">IF(ISERROR(MATCH(A35,'liste reference'!$A$8:$A$904,0)),IF(ISERROR(MATCH(A35,'liste reference'!$B$8:$B$904,0)),"",(MATCH(A35,'liste reference'!$B$8:$B$904,0))),(MATCH(A35,'liste reference'!$A$8:$A$904,0)))</f>
        <v>485</v>
      </c>
      <c r="AA35" s="491"/>
      <c r="AB35" s="492"/>
      <c r="AC35" s="492"/>
      <c r="BB35" s="280" t="n">
        <f aca="false">IF(A35="","",1)</f>
        <v>1</v>
      </c>
    </row>
    <row r="36" customFormat="false" ht="13.2" hidden="false" customHeight="false" outlineLevel="0" collapsed="false">
      <c r="A36" s="493" t="s">
        <v>1671</v>
      </c>
      <c r="B36" s="494" t="n">
        <v>2.6</v>
      </c>
      <c r="C36" s="495"/>
      <c r="D36" s="477" t="str">
        <f aca="false">IF(ISERROR(VLOOKUP($A36,'liste reference'!$A$7:$D$904,2,0)),IF(ISERROR(VLOOKUP($A36,'liste reference'!$B$7:$D$904,1,0)),"",VLOOKUP($A36,'liste reference'!$B$7:$D$904,1,0)),VLOOKUP($A36,'liste reference'!$A$7:$D$904,2,0))</f>
        <v>Vallisneria spiralis</v>
      </c>
      <c r="E36" s="496" t="e">
        <f aca="false">IF(D36="",0,VLOOKUP(D36,D$22:D35,1,0))</f>
        <v>#N/A</v>
      </c>
      <c r="F36" s="500" t="n">
        <f aca="false">($B36*$B$7+$C36*$C$7)/100</f>
        <v>2.6</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8</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Vallisneria spiralis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1598</v>
      </c>
      <c r="Q36" s="486" t="n">
        <f aca="false">IF(ISTEXT(H36),"",(B36*$B$7/100)+(C36*$C$7/100))</f>
        <v>2.6</v>
      </c>
      <c r="R36" s="487" t="n">
        <f aca="false">IF(OR(ISTEXT(H36),Q36=0),"",IF(Q36&lt;0.1,1,IF(Q36&lt;1,2,IF(Q36&lt;10,3,IF(Q36&lt;50,4,IF(Q36&gt;=50,5,""))))))</f>
        <v>3</v>
      </c>
      <c r="S36" s="487" t="n">
        <f aca="false">IF(ISERROR(R36*I36),0,R36*I36)</f>
        <v>24</v>
      </c>
      <c r="T36" s="487" t="n">
        <f aca="false">IF(ISERROR(R36*I36*J36),0,R36*I36*J36)</f>
        <v>48</v>
      </c>
      <c r="U36" s="499" t="n">
        <f aca="false">IF(ISERROR(R36*J36),0,R36*J36)</f>
        <v>6</v>
      </c>
      <c r="V36" s="488" t="str">
        <f aca="false">IF(AND(A36="",F36=0),"",IF(F36=0,"Il manque le(s) % de rec. !",""))</f>
        <v/>
      </c>
      <c r="W36" s="489"/>
      <c r="Y36" s="490" t="str">
        <f aca="false">IF(A36="new.cod","NEWCOD",IF(AND((Z36=""),ISTEXT(A36)),A36,IF(Z36="","",INDEX('liste reference'!$A$8:$A$904,Z36))))</f>
        <v>VALSPI</v>
      </c>
      <c r="Z36" s="280" t="n">
        <f aca="false">IF(ISERROR(MATCH(A36,'liste reference'!$A$8:$A$904,0)),IF(ISERROR(MATCH(A36,'liste reference'!$B$8:$B$904,0)),"",(MATCH(A36,'liste reference'!$B$8:$B$904,0))),(MATCH(A36,'liste reference'!$A$8:$A$904,0)))</f>
        <v>498</v>
      </c>
      <c r="AA36" s="491"/>
      <c r="AB36" s="492"/>
      <c r="AC36" s="492"/>
      <c r="BB36" s="280" t="n">
        <f aca="false">IF(A36="","",1)</f>
        <v>1</v>
      </c>
    </row>
    <row r="37" customFormat="false" ht="13.2" hidden="false" customHeight="false" outlineLevel="0" collapsed="false">
      <c r="A37" s="493" t="s">
        <v>1708</v>
      </c>
      <c r="B37" s="494" t="n">
        <v>0.005</v>
      </c>
      <c r="C37" s="495"/>
      <c r="D37" s="477" t="str">
        <f aca="false">IF(ISERROR(VLOOKUP($A37,'liste reference'!$A$7:$D$904,2,0)),IF(ISERROR(VLOOKUP($A37,'liste reference'!$B$7:$D$904,1,0)),"",VLOOKUP($A37,'liste reference'!$B$7:$D$904,1,0)),VLOOKUP($A37,'liste reference'!$A$7:$D$904,2,0))</f>
        <v>Agrostis stolonifera</v>
      </c>
      <c r="E37" s="496" t="e">
        <f aca="false">IF(D37="",0,VLOOKUP(D37,D$22:D36,1,0))</f>
        <v>#N/A</v>
      </c>
      <c r="F37" s="500" t="n">
        <f aca="false">($B37*$B$7+$C37*$C$7)/100</f>
        <v>0.005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1543</v>
      </c>
      <c r="Q37" s="486" t="n">
        <f aca="false">IF(ISTEXT(H37),"",(B37*$B$7/100)+(C37*$C$7/100))</f>
        <v>0.005</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AGRSTO</v>
      </c>
      <c r="Z37" s="280" t="n">
        <f aca="false">IF(ISERROR(MATCH(A37,'liste reference'!$A$8:$A$904,0)),IF(ISERROR(MATCH(A37,'liste reference'!$B$8:$B$904,0)),"",(MATCH(A37,'liste reference'!$B$8:$B$904,0))),(MATCH(A37,'liste reference'!$A$8:$A$904,0)))</f>
        <v>514</v>
      </c>
      <c r="AA37" s="491" t="s">
        <v>2684</v>
      </c>
      <c r="AB37" s="492"/>
      <c r="AC37" s="492"/>
      <c r="BB37" s="280" t="n">
        <f aca="false">IF(A37="","",1)</f>
        <v>1</v>
      </c>
    </row>
    <row r="38" customFormat="false" ht="13.2" hidden="false" customHeight="false" outlineLevel="0" collapsed="false">
      <c r="A38" s="493" t="s">
        <v>1793</v>
      </c>
      <c r="B38" s="494" t="n">
        <v>0.005</v>
      </c>
      <c r="C38" s="495"/>
      <c r="D38" s="477" t="str">
        <f aca="false">IF(ISERROR(VLOOKUP($A38,'liste reference'!$A$7:$D$904,2,0)),IF(ISERROR(VLOOKUP($A38,'liste reference'!$B$7:$D$904,1,0)),"",VLOOKUP($A38,'liste reference'!$B$7:$D$904,1,0)),VLOOKUP($A38,'liste reference'!$A$7:$D$904,2,0))</f>
        <v>Carex sp.</v>
      </c>
      <c r="E38" s="496" t="e">
        <f aca="false">IF(D38="",0,VLOOKUP(D38,D$22:D37,1,0))</f>
        <v>#N/A</v>
      </c>
      <c r="F38" s="500" t="n">
        <f aca="false">($B38*$B$7+$C38*$C$7)/100</f>
        <v>0.005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Carex sp.</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1466</v>
      </c>
      <c r="Q38" s="486" t="n">
        <f aca="false">IF(ISTEXT(H38),"",(B38*$B$7/100)+(C38*$C$7/100))</f>
        <v>0.005</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CARSPX</v>
      </c>
      <c r="Z38" s="280" t="n">
        <f aca="false">IF(ISERROR(MATCH(A38,'liste reference'!$A$8:$A$904,0)),IF(ISERROR(MATCH(A38,'liste reference'!$B$8:$B$904,0)),"",(MATCH(A38,'liste reference'!$B$8:$B$904,0))),(MATCH(A38,'liste reference'!$A$8:$A$904,0)))</f>
        <v>545</v>
      </c>
      <c r="AA38" s="491"/>
      <c r="AB38" s="492"/>
      <c r="AC38" s="492"/>
      <c r="BB38" s="280" t="n">
        <f aca="false">IF(A38="","",1)</f>
        <v>1</v>
      </c>
    </row>
    <row r="39" customFormat="false" ht="13.2" hidden="false" customHeight="false" outlineLevel="0" collapsed="false">
      <c r="A39" s="493" t="s">
        <v>1882</v>
      </c>
      <c r="B39" s="494" t="n">
        <v>0.03</v>
      </c>
      <c r="C39" s="495"/>
      <c r="D39" s="477" t="str">
        <f aca="false">IF(ISERROR(VLOOKUP($A39,'liste reference'!$A$7:$D$904,2,0)),IF(ISERROR(VLOOKUP($A39,'liste reference'!$B$7:$D$904,1,0)),"",VLOOKUP($A39,'liste reference'!$B$7:$D$904,1,0)),VLOOKUP($A39,'liste reference'!$A$7:$D$904,2,0))</f>
        <v>Iris pseudacorus</v>
      </c>
      <c r="E39" s="496" t="e">
        <f aca="false">IF(D39="",0,VLOOKUP(D39,D$22:D38,1,0))</f>
        <v>#N/A</v>
      </c>
      <c r="F39" s="500" t="n">
        <f aca="false">($B39*$B$7+$C39*$C$7)/100</f>
        <v>0.03</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10</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Iris pseudacorus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1601</v>
      </c>
      <c r="Q39" s="486" t="n">
        <f aca="false">IF(ISTEXT(H39),"",(B39*$B$7/100)+(C39*$C$7/100))</f>
        <v>0.03</v>
      </c>
      <c r="R39" s="487" t="n">
        <f aca="false">IF(OR(ISTEXT(H39),Q39=0),"",IF(Q39&lt;0.1,1,IF(Q39&lt;1,2,IF(Q39&lt;10,3,IF(Q39&lt;50,4,IF(Q39&gt;=50,5,""))))))</f>
        <v>1</v>
      </c>
      <c r="S39" s="487" t="n">
        <f aca="false">IF(ISERROR(R39*I39),0,R39*I39)</f>
        <v>10</v>
      </c>
      <c r="T39" s="487" t="n">
        <f aca="false">IF(ISERROR(R39*I39*J39),0,R39*I39*J39)</f>
        <v>10</v>
      </c>
      <c r="U39" s="499" t="n">
        <f aca="false">IF(ISERROR(R39*J39),0,R39*J39)</f>
        <v>1</v>
      </c>
      <c r="V39" s="488" t="str">
        <f aca="false">IF(AND(A39="",F39=0),"",IF(F39=0,"Il manque le(s) % de rec. !",""))</f>
        <v/>
      </c>
      <c r="W39" s="489"/>
      <c r="Y39" s="490" t="str">
        <f aca="false">IF(A39="new.cod","NEWCOD",IF(AND((Z39=""),ISTEXT(A39)),A39,IF(Z39="","",INDEX('liste reference'!$A$8:$A$904,Z39))))</f>
        <v>IRIPSE</v>
      </c>
      <c r="Z39" s="280" t="n">
        <f aca="false">IF(ISERROR(MATCH(A39,'liste reference'!$A$8:$A$904,0)),IF(ISERROR(MATCH(A39,'liste reference'!$B$8:$B$904,0)),"",(MATCH(A39,'liste reference'!$B$8:$B$904,0))),(MATCH(A39,'liste reference'!$A$8:$A$904,0)))</f>
        <v>582</v>
      </c>
      <c r="AA39" s="491"/>
      <c r="AB39" s="492"/>
      <c r="AC39" s="492"/>
      <c r="BB39" s="280" t="n">
        <f aca="false">IF(A39="","",1)</f>
        <v>1</v>
      </c>
    </row>
    <row r="40" customFormat="false" ht="13.2" hidden="false" customHeight="false" outlineLevel="0" collapsed="false">
      <c r="A40" s="493" t="s">
        <v>1908</v>
      </c>
      <c r="B40" s="494" t="n">
        <v>0.05</v>
      </c>
      <c r="C40" s="495"/>
      <c r="D40" s="477" t="str">
        <f aca="false">IF(ISERROR(VLOOKUP($A40,'liste reference'!$A$7:$D$904,2,0)),IF(ISERROR(VLOOKUP($A40,'liste reference'!$B$7:$D$904,1,0)),"",VLOOKUP($A40,'liste reference'!$B$7:$D$904,1,0)),VLOOKUP($A40,'liste reference'!$A$7:$D$904,2,0))</f>
        <v>Ludwigia peploides</v>
      </c>
      <c r="E40" s="496" t="e">
        <f aca="false">IF(D40="",0,VLOOKUP(D40,D$22:D39,1,0))</f>
        <v>#N/A</v>
      </c>
      <c r="F40" s="500" t="n">
        <f aca="false">($B40*$B$7+$C40*$C$7)/100</f>
        <v>0.05</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Ludwigia peploides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1856</v>
      </c>
      <c r="Q40" s="486" t="n">
        <f aca="false">IF(ISTEXT(H40),"",(B40*$B$7/100)+(C40*$C$7/100))</f>
        <v>0.05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LUDPEP</v>
      </c>
      <c r="Z40" s="280" t="n">
        <f aca="false">IF(ISERROR(MATCH(A40,'liste reference'!$A$8:$A$904,0)),IF(ISERROR(MATCH(A40,'liste reference'!$B$8:$B$904,0)),"",(MATCH(A40,'liste reference'!$B$8:$B$904,0))),(MATCH(A40,'liste reference'!$A$8:$A$904,0)))</f>
        <v>594</v>
      </c>
      <c r="AA40" s="491"/>
      <c r="AB40" s="492"/>
      <c r="AC40" s="492"/>
      <c r="BB40" s="280" t="n">
        <f aca="false">IF(A40="","",1)</f>
        <v>1</v>
      </c>
    </row>
    <row r="41" customFormat="false" ht="13.2" hidden="false" customHeight="false" outlineLevel="0" collapsed="false">
      <c r="A41" s="493" t="s">
        <v>1913</v>
      </c>
      <c r="B41" s="494" t="n">
        <v>0.005</v>
      </c>
      <c r="C41" s="495"/>
      <c r="D41" s="477" t="str">
        <f aca="false">IF(ISERROR(VLOOKUP($A41,'liste reference'!$A$7:$D$904,2,0)),IF(ISERROR(VLOOKUP($A41,'liste reference'!$B$7:$D$904,1,0)),"",VLOOKUP($A41,'liste reference'!$B$7:$D$904,1,0)),VLOOKUP($A41,'liste reference'!$A$7:$D$904,2,0))</f>
        <v>Lycopus europaeus</v>
      </c>
      <c r="E41" s="496" t="e">
        <f aca="false">IF(D41="",0,VLOOKUP(D41,D$22:D40,1,0))</f>
        <v>#N/A</v>
      </c>
      <c r="F41" s="500" t="n">
        <f aca="false">($B41*$B$7+$C41*$C$7)/100</f>
        <v>0.005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11</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Lycopus europaeus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1789</v>
      </c>
      <c r="Q41" s="486" t="n">
        <f aca="false">IF(ISTEXT(H41),"",(B41*$B$7/100)+(C41*$C$7/100))</f>
        <v>0.005</v>
      </c>
      <c r="R41" s="487" t="n">
        <f aca="false">IF(OR(ISTEXT(H41),Q41=0),"",IF(Q41&lt;0.1,1,IF(Q41&lt;1,2,IF(Q41&lt;10,3,IF(Q41&lt;50,4,IF(Q41&gt;=50,5,""))))))</f>
        <v>1</v>
      </c>
      <c r="S41" s="487" t="n">
        <f aca="false">IF(ISERROR(R41*I41),0,R41*I41)</f>
        <v>11</v>
      </c>
      <c r="T41" s="487" t="n">
        <f aca="false">IF(ISERROR(R41*I41*J41),0,R41*I41*J41)</f>
        <v>11</v>
      </c>
      <c r="U41" s="499" t="n">
        <f aca="false">IF(ISERROR(R41*J41),0,R41*J41)</f>
        <v>1</v>
      </c>
      <c r="V41" s="488" t="str">
        <f aca="false">IF(AND(A41="",F41=0),"",IF(F41=0,"Il manque le(s) % de rec. !",""))</f>
        <v/>
      </c>
      <c r="W41" s="489"/>
      <c r="Y41" s="490" t="str">
        <f aca="false">IF(A41="new.cod","NEWCOD",IF(AND((Z41=""),ISTEXT(A41)),A41,IF(Z41="","",INDEX('liste reference'!$A$8:$A$904,Z41))))</f>
        <v>LYCEUR</v>
      </c>
      <c r="Z41" s="280" t="n">
        <f aca="false">IF(ISERROR(MATCH(A41,'liste reference'!$A$8:$A$904,0)),IF(ISERROR(MATCH(A41,'liste reference'!$B$8:$B$904,0)),"",(MATCH(A41,'liste reference'!$B$8:$B$904,0))),(MATCH(A41,'liste reference'!$A$8:$A$904,0)))</f>
        <v>596</v>
      </c>
      <c r="AA41" s="491"/>
      <c r="AB41" s="492"/>
      <c r="AC41" s="492"/>
      <c r="BB41" s="280" t="n">
        <f aca="false">IF(A41="","",1)</f>
        <v>1</v>
      </c>
    </row>
    <row r="42" customFormat="false" ht="13.2" hidden="false" customHeight="false" outlineLevel="0" collapsed="false">
      <c r="A42" s="493" t="s">
        <v>1923</v>
      </c>
      <c r="B42" s="494" t="n">
        <v>0.005</v>
      </c>
      <c r="C42" s="495"/>
      <c r="D42" s="477" t="str">
        <f aca="false">IF(ISERROR(VLOOKUP($A42,'liste reference'!$A$7:$D$904,2,0)),IF(ISERROR(VLOOKUP($A42,'liste reference'!$B$7:$D$904,1,0)),"",VLOOKUP($A42,'liste reference'!$B$7:$D$904,1,0)),VLOOKUP($A42,'liste reference'!$A$7:$D$904,2,0))</f>
        <v>Lysimachia vulgaris</v>
      </c>
      <c r="E42" s="496" t="e">
        <f aca="false">IF(D42="",0,VLOOKUP(D42,D$22:D41,1,0))</f>
        <v>#N/A</v>
      </c>
      <c r="F42" s="500" t="n">
        <f aca="false">($B42*$B$7+$C42*$C$7)/100</f>
        <v>0.005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Lysimachia vulgaris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1887</v>
      </c>
      <c r="Q42" s="486" t="n">
        <f aca="false">IF(ISTEXT(H42),"",(B42*$B$7/100)+(C42*$C$7/100))</f>
        <v>0.005</v>
      </c>
      <c r="R42" s="487" t="n">
        <f aca="false">IF(OR(ISTEXT(H42),Q42=0),"",IF(Q42&lt;0.1,1,IF(Q42&lt;1,2,IF(Q42&lt;10,3,IF(Q42&lt;50,4,IF(Q42&gt;=50,5,""))))))</f>
        <v>1</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LYSVUL</v>
      </c>
      <c r="Z42" s="280" t="n">
        <f aca="false">IF(ISERROR(MATCH(A42,'liste reference'!$A$8:$A$904,0)),IF(ISERROR(MATCH(A42,'liste reference'!$B$8:$B$904,0)),"",(MATCH(A42,'liste reference'!$B$8:$B$904,0))),(MATCH(A42,'liste reference'!$A$8:$A$904,0)))</f>
        <v>601</v>
      </c>
      <c r="AA42" s="491"/>
      <c r="AB42" s="492"/>
      <c r="AC42" s="492"/>
      <c r="BB42" s="280" t="n">
        <f aca="false">IF(A42="","",1)</f>
        <v>1</v>
      </c>
    </row>
    <row r="43" customFormat="false" ht="13.2" hidden="false" customHeight="false" outlineLevel="0" collapsed="false">
      <c r="A43" s="493" t="s">
        <v>1936</v>
      </c>
      <c r="B43" s="494" t="n">
        <v>0.005</v>
      </c>
      <c r="C43" s="495"/>
      <c r="D43" s="477" t="str">
        <f aca="false">IF(ISERROR(VLOOKUP($A43,'liste reference'!$A$7:$D$904,2,0)),IF(ISERROR(VLOOKUP($A43,'liste reference'!$B$7:$D$904,1,0)),"",VLOOKUP($A43,'liste reference'!$B$7:$D$904,1,0)),VLOOKUP($A43,'liste reference'!$A$7:$D$904,2,0))</f>
        <v>Mentha aquatica</v>
      </c>
      <c r="E43" s="496" t="e">
        <f aca="false">IF(D43="",0,VLOOKUP(D43,D$22:D42,1,0))</f>
        <v>#N/A</v>
      </c>
      <c r="F43" s="500" t="n">
        <f aca="false">($B43*$B$7+$C43*$C$7)/100</f>
        <v>0.005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12</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Mentha aquatica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1791</v>
      </c>
      <c r="Q43" s="486" t="n">
        <f aca="false">IF(ISTEXT(H43),"",(B43*$B$7/100)+(C43*$C$7/100))</f>
        <v>0.005</v>
      </c>
      <c r="R43" s="487" t="n">
        <f aca="false">IF(OR(ISTEXT(H43),Q43=0),"",IF(Q43&lt;0.1,1,IF(Q43&lt;1,2,IF(Q43&lt;10,3,IF(Q43&lt;50,4,IF(Q43&gt;=50,5,""))))))</f>
        <v>1</v>
      </c>
      <c r="S43" s="487" t="n">
        <f aca="false">IF(ISERROR(R43*I43),0,R43*I43)</f>
        <v>12</v>
      </c>
      <c r="T43" s="487" t="n">
        <f aca="false">IF(ISERROR(R43*I43*J43),0,R43*I43*J43)</f>
        <v>12</v>
      </c>
      <c r="U43" s="499" t="n">
        <f aca="false">IF(ISERROR(R43*J43),0,R43*J43)</f>
        <v>1</v>
      </c>
      <c r="V43" s="488" t="str">
        <f aca="false">IF(AND(A43="",F43=0),"",IF(F43=0,"Il manque le(s) % de rec. !",""))</f>
        <v/>
      </c>
      <c r="W43" s="501"/>
      <c r="Y43" s="490" t="str">
        <f aca="false">IF(A43="new.cod","NEWCOD",IF(AND((Z43=""),ISTEXT(A43)),A43,IF(Z43="","",INDEX('liste reference'!$A$8:$A$904,Z43))))</f>
        <v>MENAQU</v>
      </c>
      <c r="Z43" s="280" t="n">
        <f aca="false">IF(ISERROR(MATCH(A43,'liste reference'!$A$8:$A$904,0)),IF(ISERROR(MATCH(A43,'liste reference'!$B$8:$B$904,0)),"",(MATCH(A43,'liste reference'!$B$8:$B$904,0))),(MATCH(A43,'liste reference'!$A$8:$A$904,0)))</f>
        <v>607</v>
      </c>
      <c r="AA43" s="491"/>
      <c r="AB43" s="492"/>
      <c r="AC43" s="492"/>
      <c r="BB43" s="280" t="n">
        <f aca="false">IF(A43="","",1)</f>
        <v>1</v>
      </c>
    </row>
    <row r="44" customFormat="false" ht="13.2" hidden="false" customHeight="false" outlineLevel="0" collapsed="false">
      <c r="A44" s="493" t="s">
        <v>2002</v>
      </c>
      <c r="B44" s="494" t="n">
        <v>0.01</v>
      </c>
      <c r="C44" s="495"/>
      <c r="D44" s="477" t="str">
        <f aca="false">IF(ISERROR(VLOOKUP($A44,'liste reference'!$A$7:$D$904,2,0)),IF(ISERROR(VLOOKUP($A44,'liste reference'!$B$7:$D$904,1,0)),"",VLOOKUP($A44,'liste reference'!$B$7:$D$904,1,0)),VLOOKUP($A44,'liste reference'!$A$7:$D$904,2,0))</f>
        <v>Phragmites australis</v>
      </c>
      <c r="E44" s="496" t="e">
        <f aca="false">IF(D44="",0,VLOOKUP(D44,D$22:D43,1,0))</f>
        <v>#N/A</v>
      </c>
      <c r="F44" s="500" t="n">
        <f aca="false">($B44*$B$7+$C44*$C$7)/100</f>
        <v>0.01</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9</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Phragmites australis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1579</v>
      </c>
      <c r="Q44" s="486" t="n">
        <f aca="false">IF(ISTEXT(H44),"",(B44*$B$7/100)+(C44*$C$7/100))</f>
        <v>0.01</v>
      </c>
      <c r="R44" s="487" t="n">
        <f aca="false">IF(OR(ISTEXT(H44),Q44=0),"",IF(Q44&lt;0.1,1,IF(Q44&lt;1,2,IF(Q44&lt;10,3,IF(Q44&lt;50,4,IF(Q44&gt;=50,5,""))))))</f>
        <v>1</v>
      </c>
      <c r="S44" s="487" t="n">
        <f aca="false">IF(ISERROR(R44*I44),0,R44*I44)</f>
        <v>9</v>
      </c>
      <c r="T44" s="487" t="n">
        <f aca="false">IF(ISERROR(R44*I44*J44),0,R44*I44*J44)</f>
        <v>18</v>
      </c>
      <c r="U44" s="499" t="n">
        <f aca="false">IF(ISERROR(R44*J44),0,R44*J44)</f>
        <v>2</v>
      </c>
      <c r="V44" s="488" t="str">
        <f aca="false">IF(AND(A44="",F44=0),"",IF(F44=0,"Il manque le(s) % de rec. !",""))</f>
        <v/>
      </c>
      <c r="W44" s="489"/>
      <c r="Y44" s="490" t="str">
        <f aca="false">IF(A44="new.cod","NEWCOD",IF(AND((Z44=""),ISTEXT(A44)),A44,IF(Z44="","",INDEX('liste reference'!$A$8:$A$904,Z44))))</f>
        <v>PHRAUS</v>
      </c>
      <c r="Z44" s="280" t="n">
        <f aca="false">IF(ISERROR(MATCH(A44,'liste reference'!$A$8:$A$904,0)),IF(ISERROR(MATCH(A44,'liste reference'!$B$8:$B$904,0)),"",(MATCH(A44,'liste reference'!$B$8:$B$904,0))),(MATCH(A44,'liste reference'!$A$8:$A$904,0)))</f>
        <v>635</v>
      </c>
      <c r="AA44" s="491"/>
      <c r="AB44" s="492"/>
      <c r="AC44" s="492"/>
      <c r="BB44" s="280" t="n">
        <f aca="false">IF(A44="","",1)</f>
        <v>1</v>
      </c>
    </row>
    <row r="45" customFormat="false" ht="13.2" hidden="false" customHeight="false" outlineLevel="0" collapsed="false">
      <c r="A45" s="493" t="s">
        <v>2685</v>
      </c>
      <c r="B45" s="494" t="n">
        <v>0.005</v>
      </c>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0.005</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Paspalum distichum</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c r="AB45" s="492" t="s">
        <v>2686</v>
      </c>
      <c r="AC45" s="492"/>
      <c r="BB45" s="280" t="n">
        <f aca="false">IF(A45="","",1)</f>
        <v>1</v>
      </c>
    </row>
    <row r="46" customFormat="false" ht="13.2" hidden="false" customHeight="false" outlineLevel="0" collapsed="false">
      <c r="A46" s="493" t="s">
        <v>2685</v>
      </c>
      <c r="B46" s="494" t="n">
        <v>0.005</v>
      </c>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0.005</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Pulicaria dysenterica</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2388</v>
      </c>
      <c r="AC46" s="492"/>
      <c r="BB46" s="280" t="n">
        <f aca="false">IF(A46="","",1)</f>
        <v>1</v>
      </c>
    </row>
    <row r="47" customFormat="false" ht="13.2" hidden="false" customHeight="false" outlineLevel="0" collapsed="false">
      <c r="A47" s="493" t="s">
        <v>2685</v>
      </c>
      <c r="B47" s="494" t="n">
        <v>0.005</v>
      </c>
      <c r="C47" s="495"/>
      <c r="D47" s="477" t="str">
        <f aca="false">IF(ISERROR(VLOOKUP($A47,'liste reference'!$A$7:$D$904,2,0)),IF(ISERROR(VLOOKUP($A47,'liste reference'!$B$7:$D$904,1,0)),"",VLOOKUP($A47,'liste reference'!$B$7:$D$904,1,0)),VLOOKUP($A47,'liste reference'!$A$7:$D$904,2,0))</f>
        <v/>
      </c>
      <c r="E47" s="496" t="n">
        <f aca="false">IF(D47="",0,VLOOKUP(D47,D$22:D46,1,0))</f>
        <v>0</v>
      </c>
      <c r="F47" s="500" t="n">
        <f aca="false">($B47*$B$7+$C47*$C$7)/100</f>
        <v>0.005</v>
      </c>
      <c r="G47" s="479" t="str">
        <f aca="false">IF(A47="","",IF(ISERROR(VLOOKUP($A47,'liste reference'!$A$7:$P$904,13,0)),IF(ISERROR(VLOOKUP($A47,'liste reference'!$B$7:$P$904,12,0)),"    -",VLOOKUP($A47,'liste reference'!$B$7:$P$904,12,0)),VLOOKUP($A47,'liste reference'!$A$7:$P$904,13,0)))</f>
        <v>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Scutellaria galericulata</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No</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newcod</v>
      </c>
      <c r="Z47" s="280" t="str">
        <f aca="false">IF(ISERROR(MATCH(A47,'liste reference'!$A$8:$A$904,0)),IF(ISERROR(MATCH(A47,'liste reference'!$B$8:$B$904,0)),"",(MATCH(A47,'liste reference'!$B$8:$B$904,0))),(MATCH(A47,'liste reference'!$A$8:$A$904,0)))</f>
        <v/>
      </c>
      <c r="AA47" s="491"/>
      <c r="AB47" s="492" t="s">
        <v>2426</v>
      </c>
      <c r="AC47" s="492"/>
      <c r="BB47" s="280" t="n">
        <f aca="false">IF(A47="","",1)</f>
        <v>1</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Aude</v>
      </c>
      <c r="B84" s="529" t="str">
        <f aca="false">C3</f>
        <v>Salles d'Aude</v>
      </c>
      <c r="C84" s="530" t="n">
        <f aca="false">A4</f>
        <v>41541</v>
      </c>
      <c r="D84" s="531" t="n">
        <f aca="false">IF(ISERROR(SUM($T$23:$T$82)/SUM($U$23:$U$82)),"",SUM($T$23:$T$82)/SUM($U$23:$U$82))</f>
        <v>8.45454545454546</v>
      </c>
      <c r="E84" s="532" t="n">
        <f aca="false">N13</f>
        <v>25</v>
      </c>
      <c r="F84" s="529" t="n">
        <f aca="false">N14</f>
        <v>22</v>
      </c>
      <c r="G84" s="529" t="n">
        <f aca="false">N15</f>
        <v>7</v>
      </c>
      <c r="H84" s="529" t="n">
        <f aca="false">N16</f>
        <v>9</v>
      </c>
      <c r="I84" s="529" t="n">
        <f aca="false">N17</f>
        <v>2</v>
      </c>
      <c r="J84" s="533" t="n">
        <f aca="false">N8</f>
        <v>7.31818181818182</v>
      </c>
      <c r="K84" s="531" t="n">
        <f aca="false">N9</f>
        <v>4.39407000850799</v>
      </c>
      <c r="L84" s="532" t="n">
        <f aca="false">N10</f>
        <v>0</v>
      </c>
      <c r="M84" s="532" t="n">
        <f aca="false">N11</f>
        <v>14</v>
      </c>
      <c r="N84" s="531" t="n">
        <f aca="false">O8</f>
        <v>1.40909090909091</v>
      </c>
      <c r="O84" s="531" t="n">
        <f aca="false">O9</f>
        <v>0.887237331633779</v>
      </c>
      <c r="P84" s="532" t="n">
        <f aca="false">O10</f>
        <v>0</v>
      </c>
      <c r="Q84" s="532" t="n">
        <f aca="false">O11</f>
        <v>3</v>
      </c>
      <c r="R84" s="532" t="n">
        <f aca="false">F21</f>
        <v>6.225</v>
      </c>
      <c r="S84" s="532" t="n">
        <f aca="false">K11</f>
        <v>0</v>
      </c>
      <c r="T84" s="532" t="n">
        <f aca="false">K12</f>
        <v>8</v>
      </c>
      <c r="U84" s="532" t="n">
        <f aca="false">K13</f>
        <v>1</v>
      </c>
      <c r="V84" s="534" t="n">
        <f aca="false">K14</f>
        <v>0</v>
      </c>
      <c r="W84" s="535" t="n">
        <f aca="false">K15</f>
        <v>13</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26</v>
      </c>
      <c r="T87" s="280"/>
      <c r="U87" s="280"/>
      <c r="V87" s="280"/>
    </row>
    <row r="88" customFormat="false" ht="13.2" hidden="true" customHeight="false" outlineLevel="0" collapsed="false">
      <c r="P88" s="280"/>
      <c r="Q88" s="280" t="s">
        <v>2690</v>
      </c>
      <c r="R88" s="280"/>
      <c r="S88" s="488" t="n">
        <f aca="false">VLOOKUP((S87),($S$23:$U$82),2,0)</f>
        <v>52</v>
      </c>
      <c r="T88" s="280"/>
      <c r="U88" s="280"/>
      <c r="V88" s="280"/>
    </row>
    <row r="89" customFormat="false" ht="13.2" hidden="true" customHeight="false" outlineLevel="0" collapsed="false">
      <c r="Q89" s="280" t="s">
        <v>2691</v>
      </c>
      <c r="R89" s="280"/>
      <c r="S89" s="488" t="n">
        <f aca="false">VLOOKUP((S87),($S$23:$U$82),3,0)</f>
        <v>4</v>
      </c>
      <c r="T89" s="280"/>
    </row>
    <row r="90" customFormat="false" ht="13.2" hidden="false" customHeight="false" outlineLevel="0" collapsed="false">
      <c r="Q90" s="280" t="s">
        <v>2692</v>
      </c>
      <c r="R90" s="280"/>
      <c r="S90" s="538" t="n">
        <f aca="false">IF(ISERROR(SUM($T$23:$T$82)/SUM($U$23:$U$82)),"",(SUM($T$23:$T$82)-S88)/(SUM($U$23:$U$82)-S89))</f>
        <v>8</v>
      </c>
      <c r="T90" s="280"/>
    </row>
    <row r="91" customFormat="false" ht="13.2" hidden="false" customHeight="false" outlineLevel="0" collapsed="false">
      <c r="Q91" s="487" t="s">
        <v>2693</v>
      </c>
      <c r="R91" s="487"/>
      <c r="S91" s="487" t="str">
        <f aca="false">INDEX('liste reference'!$A$8:$A$904,$T$91)</f>
        <v>PHOSPX</v>
      </c>
      <c r="T91" s="280" t="n">
        <f aca="false">IF(ISERROR(MATCH($S$93,'liste reference'!$A$8:$A$904,0)),MATCH($S$93,'liste reference'!$B$8:$B$904,0),(MATCH($S$93,'liste reference'!$A$8:$A$904,0)))</f>
        <v>57</v>
      </c>
      <c r="U91" s="527"/>
    </row>
    <row r="92" customFormat="false" ht="13.2" hidden="false" customHeight="false" outlineLevel="0" collapsed="false">
      <c r="Q92" s="280" t="s">
        <v>2694</v>
      </c>
      <c r="R92" s="280"/>
      <c r="S92" s="280" t="n">
        <f aca="false">MATCH(S87,$S$23:$S$82,0)</f>
        <v>6</v>
      </c>
      <c r="T92" s="280"/>
    </row>
    <row r="93" customFormat="false" ht="13.2" hidden="false" customHeight="false" outlineLevel="0" collapsed="false">
      <c r="Q93" s="487" t="s">
        <v>2695</v>
      </c>
      <c r="R93" s="280"/>
      <c r="S93" s="487" t="str">
        <f aca="false">INDEX($A$23:$A$82,$S$92)</f>
        <v>PHOSPX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K23:K82">
    <cfRule type="cellIs" priority="22" operator="equal" aboveAverage="0" equalAverage="0" bottom="0" percent="0" rank="0" text="" dxfId="31">
      <formula>"Remplir le champs 'Nouveau taxa' svp."</formula>
    </cfRule>
  </conditionalFormatting>
  <conditionalFormatting sqref="P23:P82">
    <cfRule type="cellIs" priority="23" operator="equal" aboveAverage="0" equalAverage="0" bottom="0" percent="0" rank="0" text="" dxfId="32">
      <formula>"code non répertorié ou synonyme"</formula>
    </cfRule>
    <cfRule type="expression" priority="24" aboveAverage="0" equalAverage="0" bottom="0" percent="0" rank="0" text="" dxfId="33">
      <formula>AND($I23="",$J23="")</formula>
    </cfRule>
    <cfRule type="cellIs" priority="25" operator="equal" aboveAverage="0" equalAverage="0" bottom="0" percent="0" rank="0" text="" dxfId="34">
      <formula>"DEJA SAISI !"</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8"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2688</v>
      </c>
      <c r="R86" s="280"/>
      <c r="S86" s="488"/>
      <c r="T86" s="280"/>
      <c r="U86" s="280"/>
      <c r="V86" s="280"/>
    </row>
    <row r="87" customFormat="false" ht="13.2" hidden="true" customHeight="false" outlineLevel="0" collapsed="false">
      <c r="P87" s="280"/>
      <c r="Q87" s="280" t="s">
        <v>2689</v>
      </c>
      <c r="R87" s="280"/>
      <c r="S87" s="488" t="n">
        <f aca="false">VLOOKUP(MAX($S$23:$S$82),($S$23:$U$82),1,0)</f>
        <v>0</v>
      </c>
      <c r="T87" s="280"/>
      <c r="U87" s="280"/>
      <c r="V87" s="280"/>
    </row>
    <row r="88" customFormat="false" ht="13.2" hidden="true" customHeight="false" outlineLevel="0" collapsed="false">
      <c r="P88" s="280"/>
      <c r="Q88" s="280" t="s">
        <v>2690</v>
      </c>
      <c r="R88" s="280"/>
      <c r="S88" s="488" t="n">
        <f aca="false">VLOOKUP((S87),($S$23:$U$82),2,0)</f>
        <v>0</v>
      </c>
      <c r="T88" s="280"/>
      <c r="U88" s="280"/>
      <c r="V88" s="280"/>
    </row>
    <row r="89" customFormat="false" ht="13.2" hidden="true" customHeight="false" outlineLevel="0" collapsed="false">
      <c r="Q89" s="280" t="s">
        <v>2691</v>
      </c>
      <c r="R89" s="280"/>
      <c r="S89" s="488" t="n">
        <f aca="false">VLOOKUP((S87),($S$23:$U$82),3,0)</f>
        <v>0</v>
      </c>
      <c r="T89" s="280"/>
    </row>
    <row r="90" customFormat="false" ht="13.2" hidden="false" customHeight="false" outlineLevel="0" collapsed="false">
      <c r="Q90" s="280" t="s">
        <v>2692</v>
      </c>
      <c r="R90" s="280"/>
      <c r="S90" s="538" t="str">
        <f aca="false">IF(ISERROR(SUM($T$23:$T$82)/SUM($U$23:$U$82)),"",(SUM($T$23:$T$82)-S88)/(SUM($U$23:$U$82)-S89))</f>
        <v/>
      </c>
      <c r="T90" s="280"/>
    </row>
    <row r="91" customFormat="false" ht="13.2"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2694</v>
      </c>
      <c r="R92" s="280"/>
      <c r="S92" s="280" t="n">
        <f aca="false">MATCH(S87,$S$23:$S$82,0)</f>
        <v>1</v>
      </c>
      <c r="T92" s="280"/>
    </row>
    <row r="93" customFormat="false" ht="13.2" hidden="false" customHeight="false" outlineLevel="0" collapsed="false">
      <c r="Q93" s="487" t="s">
        <v>2695</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2703</v>
      </c>
      <c r="B1" s="549"/>
      <c r="C1" s="549"/>
      <c r="D1" s="549"/>
    </row>
    <row r="2" customFormat="false" ht="13.8" hidden="false" customHeight="false" outlineLevel="0" collapsed="false">
      <c r="A2" s="550" t="s">
        <v>2704</v>
      </c>
      <c r="B2" s="551"/>
      <c r="C2" s="552"/>
      <c r="D2" s="552"/>
    </row>
    <row r="3" customFormat="false" ht="14.4" hidden="false" customHeight="false" outlineLevel="0" collapsed="false">
      <c r="A3" s="550" t="s">
        <v>2705</v>
      </c>
      <c r="B3" s="551"/>
      <c r="C3" s="552"/>
      <c r="D3" s="553" t="s">
        <v>2706</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2707</v>
      </c>
      <c r="G15" s="571"/>
      <c r="H15" s="572" t="s">
        <v>2708</v>
      </c>
      <c r="I15" s="571"/>
    </row>
    <row r="16" customFormat="false" ht="14.4" hidden="false" customHeight="false" outlineLevel="0" collapsed="false">
      <c r="A16" s="567" t="s">
        <v>1708</v>
      </c>
      <c r="B16" s="566" t="s">
        <v>1709</v>
      </c>
      <c r="C16" s="568"/>
      <c r="D16" s="569"/>
      <c r="F16" s="573" t="s">
        <v>2709</v>
      </c>
      <c r="G16" s="574"/>
      <c r="H16" s="573" t="s">
        <v>2709</v>
      </c>
      <c r="I16" s="575"/>
    </row>
    <row r="17" customFormat="false" ht="14.4" hidden="false" customHeight="false" outlineLevel="0" collapsed="false">
      <c r="A17" s="565" t="s">
        <v>2127</v>
      </c>
      <c r="B17" s="566" t="s">
        <v>2128</v>
      </c>
      <c r="C17" s="568"/>
      <c r="D17" s="569"/>
      <c r="F17" s="576" t="s">
        <v>2710</v>
      </c>
      <c r="G17" s="577"/>
      <c r="H17" s="576" t="s">
        <v>2710</v>
      </c>
      <c r="I17" s="578"/>
    </row>
    <row r="18" customFormat="false" ht="14.4" hidden="false" customHeight="false" outlineLevel="0" collapsed="false">
      <c r="A18" s="565" t="s">
        <v>1212</v>
      </c>
      <c r="B18" s="566" t="s">
        <v>1213</v>
      </c>
      <c r="C18" s="568"/>
      <c r="D18" s="569"/>
      <c r="F18" s="576" t="s">
        <v>2711</v>
      </c>
      <c r="G18" s="577"/>
      <c r="H18" s="576" t="s">
        <v>2711</v>
      </c>
      <c r="I18" s="578"/>
    </row>
    <row r="19" customFormat="false" ht="14.4" hidden="false" customHeight="false" outlineLevel="0" collapsed="false">
      <c r="A19" s="565" t="s">
        <v>1711</v>
      </c>
      <c r="B19" s="566" t="s">
        <v>1712</v>
      </c>
      <c r="C19" s="568"/>
      <c r="D19" s="569"/>
      <c r="F19" s="576" t="s">
        <v>2712</v>
      </c>
      <c r="G19" s="577"/>
      <c r="H19" s="576" t="s">
        <v>2712</v>
      </c>
      <c r="I19" s="578"/>
    </row>
    <row r="20" customFormat="false" ht="14.4" hidden="false" customHeight="false" outlineLevel="0" collapsed="false">
      <c r="A20" s="567" t="s">
        <v>1714</v>
      </c>
      <c r="B20" s="566" t="s">
        <v>1715</v>
      </c>
      <c r="C20" s="568"/>
      <c r="D20" s="569"/>
      <c r="F20" s="576" t="s">
        <v>2713</v>
      </c>
      <c r="G20" s="577"/>
      <c r="H20" s="576" t="s">
        <v>2713</v>
      </c>
      <c r="I20" s="578"/>
    </row>
    <row r="21" customFormat="false" ht="14.4" hidden="false" customHeight="false" outlineLevel="0" collapsed="false">
      <c r="A21" s="567" t="s">
        <v>1720</v>
      </c>
      <c r="B21" s="566" t="s">
        <v>1721</v>
      </c>
      <c r="C21" s="568"/>
      <c r="D21" s="569"/>
      <c r="F21" s="576" t="s">
        <v>2624</v>
      </c>
      <c r="G21" s="577"/>
      <c r="H21" s="576" t="s">
        <v>2624</v>
      </c>
      <c r="I21" s="578"/>
    </row>
    <row r="22" customFormat="false" ht="14.4" hidden="false" customHeight="false" outlineLevel="0" collapsed="false">
      <c r="A22" s="565" t="s">
        <v>1726</v>
      </c>
      <c r="B22" s="566" t="s">
        <v>1727</v>
      </c>
      <c r="C22" s="568"/>
      <c r="D22" s="569"/>
      <c r="F22" s="576" t="s">
        <v>2714</v>
      </c>
      <c r="G22" s="577"/>
      <c r="H22" s="576" t="s">
        <v>2714</v>
      </c>
      <c r="I22" s="578"/>
    </row>
    <row r="23" customFormat="false" ht="14.4" hidden="false" customHeight="false" outlineLevel="0" collapsed="false">
      <c r="A23" s="565" t="s">
        <v>2465</v>
      </c>
      <c r="B23" s="566" t="s">
        <v>2466</v>
      </c>
      <c r="C23" s="568"/>
      <c r="D23" s="569"/>
      <c r="F23" s="576" t="s">
        <v>2715</v>
      </c>
      <c r="G23" s="577"/>
      <c r="H23" s="576" t="s">
        <v>2715</v>
      </c>
      <c r="I23" s="578"/>
    </row>
    <row r="24" customFormat="false" ht="14.4" hidden="false" customHeight="false" outlineLevel="0" collapsed="false">
      <c r="A24" s="565" t="s">
        <v>2130</v>
      </c>
      <c r="B24" s="566" t="s">
        <v>2131</v>
      </c>
      <c r="C24" s="568"/>
      <c r="D24" s="569"/>
      <c r="F24" s="576" t="s">
        <v>2716</v>
      </c>
      <c r="G24" s="577"/>
      <c r="H24" s="576" t="s">
        <v>2716</v>
      </c>
      <c r="I24" s="578"/>
    </row>
    <row r="25" customFormat="false" ht="14.4" hidden="false" customHeight="false" outlineLevel="0" collapsed="false">
      <c r="A25" s="565" t="s">
        <v>2133</v>
      </c>
      <c r="B25" s="566" t="s">
        <v>2134</v>
      </c>
      <c r="C25" s="568"/>
      <c r="D25" s="569"/>
      <c r="F25" s="579" t="s">
        <v>2717</v>
      </c>
      <c r="G25" s="580"/>
      <c r="H25" s="579" t="s">
        <v>2717</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2684</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2719</v>
      </c>
    </row>
    <row r="36" customFormat="false" ht="14.4" hidden="false" customHeight="false" outlineLevel="0" collapsed="false">
      <c r="A36" s="567" t="s">
        <v>320</v>
      </c>
      <c r="B36" s="566" t="s">
        <v>321</v>
      </c>
      <c r="C36" s="568"/>
      <c r="D36" s="569"/>
      <c r="F36" s="585" t="s">
        <v>2637</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2014-04-07T15:42:56Z</dcterms:modified>
  <cp:revision>0</cp:revision>
  <dc:subject/>
  <dc:title>Feuille d'aide au calcul de l'IBMR</dc:title>
</cp:coreProperties>
</file>