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re à Saint André de M." sheetId="6" state="visible" r:id="rId8"/>
    <sheet name="modele" sheetId="7" state="hidden" r:id="rId9"/>
    <sheet name="liste codes réf" sheetId="8" state="hidden" r:id="rId10"/>
  </sheets>
  <definedNames>
    <definedName function="false" hidden="false" localSheetId="5" name="_xlnm.Print_Area" vbProcedure="false">'Arre à Saint André de M.'!$A$1:$O$82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'Arre à Saint André de M.'!$A$23:$J$84</definedName>
    <definedName function="false" hidden="false" localSheetId="5" name="NOM" vbProcedure="false">'Arre à Saint André de M.'!$H$1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<sst xmlns="http://schemas.openxmlformats.org/spreadsheetml/2006/main" count="7377" uniqueCount="3130">
  <si>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</si>
  <si>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</si>
  <si>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</si>
  <si>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</si>
  <si>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</si>
  <si>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</si>
  <si>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</si>
  <si>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</si>
  <si>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</si>
  <si>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</si>
  <si>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</si>
  <si>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</si>
  <si>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</si>
  <si>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</si>
  <si>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</si>
  <si>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</si>
  <si>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</si>
  <si>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</si>
  <si>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</si>
  <si>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</si>
  <si>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</si>
  <si>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</si>
  <si>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</si>
  <si>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</si>
  <si>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</si>
  <si>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</si>
  <si>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</si>
  <si>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</si>
  <si>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</si>
  <si>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</si>
  <si>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</si>
  <si>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</si>
  <si>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</si>
  <si>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</si>
  <si>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</si>
  <si>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</si>
  <si>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</si>
  <si>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</si>
  <si>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</si>
  <si>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</si>
  <si>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</si>
  <si>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</si>
  <si>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</si>
  <si>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</si>
  <si>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</si>
  <si>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</si>
  <si>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</si>
  <si>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</si>
  <si>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</si>
  <si>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</si>
  <si>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</si>
  <si>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</si>
  <si>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</si>
  <si>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</si>
  <si>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</si>
  <si>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</si>
  <si>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</si>
  <si>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</si>
  <si>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</si>
  <si>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</si>
  <si>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</si>
  <si>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</si>
  <si>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</si>
  <si>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</si>
  <si>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</si>
  <si>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</si>
  <si>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</si>
  <si>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</si>
  <si>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</si>
  <si>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</si>
  <si>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</si>
  <si>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</si>
  <si>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</si>
  <si>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</si>
  <si>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</si>
  <si>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</si>
  <si>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</si>
  <si>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</si>
  <si>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</si>
  <si>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</si>
  <si>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</si>
  <si>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</si>
  <si>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</si>
  <si>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</si>
  <si>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</si>
  <si>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</si>
  <si>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</si>
  <si>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</si>
  <si>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</si>
  <si>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</si>
  <si>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</si>
  <si>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</si>
  <si>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</si>
  <si>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</si>
  <si>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</si>
  <si>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</si>
  <si>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</si>
  <si>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</si>
  <si>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</si>
  <si>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</si>
  <si>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</si>
  <si>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</si>
  <si>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</si>
  <si>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</si>
  <si>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</si>
  <si>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</si>
  <si>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</si>
  <si>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</si>
  <si>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</si>
  <si>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</si>
  <si>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</si>
  <si>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</si>
  <si>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</si>
  <si>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</si>
  <si>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</si>
  <si>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</si>
  <si>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</si>
  <si>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</si>
  <si>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</si>
  <si>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</si>
  <si>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</si>
  <si>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</si>
  <si>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</si>
  <si>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</si>
  <si>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</si>
  <si>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</si>
  <si>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</si>
  <si>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</si>
  <si>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</si>
  <si>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</si>
  <si>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</si>
  <si>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</si>
  <si>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</si>
  <si>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</si>
  <si>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</si>
  <si>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</si>
  <si>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</si>
  <si>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</si>
  <si>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</si>
  <si>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</si>
  <si>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</si>
  <si>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</si>
  <si>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</si>
  <si>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</si>
  <si>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</si>
  <si>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</si>
  <si>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</si>
  <si>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</si>
  <si>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</si>
  <si>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</si>
  <si>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</si>
  <si>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</si>
  <si>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</si>
  <si>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</si>
  <si>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</si>
  <si>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</si>
  <si>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</si>
  <si>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</si>
  <si>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</si>
  <si>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</si>
  <si>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</si>
  <si>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</si>
  <si>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</si>
  <si>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</si>
  <si>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</si>
  <si>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</si>
  <si>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</si>
  <si>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</si>
  <si>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</si>
  <si>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</si>
  <si>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</si>
  <si>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</si>
  <si>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</si>
  <si>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</si>
  <si>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</si>
  <si>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</si>
  <si>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</si>
  <si>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</si>
  <si>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</si>
  <si>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</si>
  <si>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</si>
  <si>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</si>
  <si>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</si>
  <si>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</si>
  <si>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</si>
  <si>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</si>
  <si>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</si>
  <si>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</si>
  <si>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</si>
  <si>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</si>
  <si>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</si>
  <si>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</si>
  <si>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</si>
  <si>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</si>
  <si>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</si>
  <si>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</si>
  <si>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</si>
  <si>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</si>
  <si>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</si>
  <si>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</si>
  <si>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</si>
  <si>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</si>
  <si>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</si>
  <si>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</si>
  <si>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</si>
  <si>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</si>
  <si>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</si>
  <si>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</si>
  <si>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</si>
  <si>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</si>
  <si>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</si>
  <si>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</si>
  <si>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</si>
  <si>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</si>
  <si>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</si>
  <si>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</si>
  <si>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</si>
  <si>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</si>
  <si>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</si>
  <si>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</si>
  <si>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</si>
  <si>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</si>
  <si>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</si>
  <si>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</si>
  <si>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</si>
  <si>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</si>
  <si>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</si>
  <si>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</si>
  <si>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</si>
  <si>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</si>
  <si>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</si>
  <si>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</si>
  <si>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</si>
  <si>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</si>
  <si>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</si>
  <si>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</si>
  <si>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</si>
  <si>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</si>
  <si>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</si>
  <si>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</si>
  <si>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</si>
  <si>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</si>
  <si>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</si>
  <si>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</si>
  <si>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</si>
  <si>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</si>
  <si>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</si>
  <si>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</si>
  <si>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</si>
  <si>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</si>
  <si>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</si>
  <si>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</si>
  <si>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</si>
  <si>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</si>
  <si>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</si>
  <si>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</si>
  <si>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</si>
  <si>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</si>
  <si>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</si>
  <si>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</si>
  <si>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</si>
  <si>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</si>
  <si>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</si>
  <si>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</si>
  <si>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</si>
  <si>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</si>
  <si>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</si>
  <si>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</si>
  <si>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</si>
  <si>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</si>
  <si>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</si>
  <si>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</si>
  <si>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</si>
  <si>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</si>
  <si>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</si>
  <si>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</si>
  <si>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</si>
  <si>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</si>
  <si>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</si>
  <si>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</si>
  <si>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</si>
  <si>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</si>
  <si>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</si>
  <si>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</si>
  <si>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</si>
  <si>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</si>
  <si>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</si>
  <si>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</si>
  <si>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</si>
  <si>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</si>
  <si>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</si>
  <si>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</si>
  <si>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</si>
  <si>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</si>
  <si>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</si>
  <si>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</si>
  <si>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</si>
  <si>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</si>
  <si>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</si>
  <si>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</si>
  <si>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</si>
  <si>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</si>
  <si>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</si>
  <si>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</si>
  <si>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</si>
  <si>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</si>
  <si>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</si>
  <si>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</si>
  <si>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</si>
  <si>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</si>
  <si>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</si>
  <si>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</si>
  <si>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</si>
  <si>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</si>
  <si>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</si>
  <si>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</si>
  <si>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</si>
  <si>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</si>
  <si>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</si>
  <si>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</si>
  <si>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</si>
  <si>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</si>
  <si>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</si>
  <si>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</si>
  <si>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</si>
  <si>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</si>
  <si>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</si>
  <si>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</si>
  <si>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</si>
  <si>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</si>
  <si>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</si>
  <si>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</si>
  <si>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</si>
  <si>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</si>
  <si>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</si>
  <si>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</si>
  <si>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</si>
  <si>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</si>
  <si>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</si>
  <si>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</si>
  <si>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</si>
  <si>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</si>
  <si>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</si>
  <si>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</si>
  <si>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</si>
  <si>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</si>
  <si>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</si>
  <si>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</si>
  <si>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</si>
  <si>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</si>
  <si>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</si>
  <si>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</si>
  <si>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</si>
  <si>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</si>
  <si>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</si>
  <si>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</si>
  <si>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</si>
  <si>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</si>
  <si>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</si>
  <si>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</si>
  <si>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</si>
  <si>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</si>
  <si>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</si>
  <si>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</si>
  <si>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</si>
  <si>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</si>
  <si>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</si>
  <si>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</si>
  <si>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</si>
  <si>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</si>
  <si>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</si>
  <si>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</si>
  <si>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</si>
  <si>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</si>
  <si>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</si>
  <si>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</si>
  <si>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</si>
  <si>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</si>
  <si>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</si>
  <si>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</si>
  <si>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</si>
  <si>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</si>
  <si>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</si>
  <si>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</si>
  <si>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</si>
  <si>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</si>
  <si>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</si>
  <si>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</si>
  <si>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</si>
  <si>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</si>
  <si>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</si>
  <si>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</si>
  <si>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</si>
  <si>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</si>
  <si>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</si>
  <si>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</si>
  <si>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</si>
  <si>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</si>
  <si>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</si>
  <si>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</si>
  <si>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</si>
  <si>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</si>
  <si>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</si>
  <si>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</si>
  <si>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</si>
  <si>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</si>
  <si>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</si>
  <si>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</si>
  <si>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</si>
  <si>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</si>
  <si>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</si>
  <si>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</si>
  <si>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</si>
  <si>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</si>
  <si>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</si>
  <si>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</si>
  <si>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</si>
  <si>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</si>
  <si>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</si>
  <si>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</si>
  <si>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</si>
  <si>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</si>
  <si>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</si>
  <si>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</si>
  <si>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</si>
  <si>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</si>
  <si>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</si>
  <si>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</si>
  <si>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</si>
  <si>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</si>
  <si>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</si>
  <si>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</si>
  <si>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</si>
  <si>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</si>
  <si>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</si>
  <si>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</si>
  <si>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</si>
  <si>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</si>
  <si>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</si>
  <si>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</si>
  <si>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</si>
  <si>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</si>
  <si>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</si>
  <si>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</si>
  <si>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</si>
  <si>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</si>
  <si>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</si>
  <si>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</si>
  <si>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</si>
  <si>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</si>
  <si>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</si>
  <si>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</si>
  <si>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</si>
  <si>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</si>
  <si>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</si>
  <si>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</si>
  <si>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</si>
  <si>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</si>
  <si>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</si>
  <si>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</si>
  <si>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</si>
  <si>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</si>
  <si>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</si>
  <si>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</si>
  <si>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</si>
  <si>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</si>
  <si>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</si>
  <si>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</si>
  <si>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</si>
  <si>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</si>
  <si>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</si>
  <si>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</si>
  <si>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</si>
  <si>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</si>
  <si>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</si>
  <si>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</si>
  <si>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</si>
  <si>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</si>
  <si>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</si>
  <si>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</si>
  <si>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</si>
  <si>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</si>
  <si>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</si>
  <si>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</si>
  <si>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</si>
  <si>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</si>
  <si>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</si>
  <si>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</si>
  <si>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</si>
  <si>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</si>
  <si>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</si>
  <si>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</si>
  <si>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</si>
  <si>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</si>
  <si>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</si>
  <si>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</si>
  <si>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</si>
  <si>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</si>
  <si>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</si>
  <si>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</si>
  <si>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</si>
  <si>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</si>
  <si>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</si>
  <si>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</si>
  <si>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</si>
  <si>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</si>
  <si>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</si>
  <si>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</si>
  <si>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</si>
  <si>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</si>
  <si>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</si>
  <si>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</si>
  <si>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</si>
  <si>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</si>
  <si>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</si>
  <si>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</si>
  <si>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</si>
  <si>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</si>
  <si>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</si>
  <si>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</si>
  <si>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</si>
  <si>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</si>
  <si>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</si>
  <si>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</si>
  <si>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</si>
  <si>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</si>
  <si>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</si>
  <si>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</si>
  <si>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</si>
  <si>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</si>
  <si>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</si>
  <si>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</si>
  <si>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</si>
  <si>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</si>
  <si>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</si>
  <si>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</si>
  <si>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</si>
  <si>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</si>
  <si>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</si>
  <si>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</si>
  <si>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</si>
  <si>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</si>
  <si>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</si>
  <si>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</si>
  <si>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</si>
  <si>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</si>
  <si>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</si>
  <si>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</si>
  <si>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</si>
  <si>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</si>
  <si>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</si>
  <si>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</si>
  <si>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</si>
  <si>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</si>
  <si>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</si>
  <si>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</si>
  <si>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</si>
  <si>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</si>
  <si>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</si>
  <si>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</si>
  <si>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</si>
  <si>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</si>
  <si>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</si>
  <si>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</si>
  <si>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</si>
  <si>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</si>
  <si>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</si>
  <si>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</si>
  <si>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</si>
  <si>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</si>
  <si>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</si>
  <si>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</si>
  <si>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</si>
  <si>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</si>
  <si>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</si>
  <si>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</si>
  <si>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</si>
  <si>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</si>
  <si>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</si>
  <si>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</si>
  <si>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</si>
  <si>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</si>
  <si>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</si>
  <si>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</si>
  <si>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</si>
  <si>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</si>
  <si>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</si>
  <si>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</si>
  <si>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</si>
  <si>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</si>
  <si>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</si>
  <si>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</si>
  <si>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</si>
  <si>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</si>
  <si>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</si>
  <si>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</si>
  <si>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</si>
  <si>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</si>
  <si>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</si>
  <si>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</si>
  <si>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</si>
  <si>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</si>
  <si>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</si>
  <si>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</si>
  <si>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</si>
  <si>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</si>
  <si>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</si>
  <si>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</si>
  <si>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</si>
  <si>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</si>
  <si>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</si>
  <si>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</si>
  <si>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</si>
  <si>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</si>
  <si>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</si>
  <si>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</si>
  <si>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</si>
  <si>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</si>
  <si>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</si>
  <si>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</si>
  <si>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</si>
  <si>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</si>
  <si>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</si>
  <si>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</si>
  <si>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</si>
  <si>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</si>
  <si>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</si>
  <si>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</si>
  <si>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</si>
  <si>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</si>
  <si>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</si>
  <si>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</si>
  <si>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</si>
  <si>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</si>
  <si>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</si>
  <si>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</si>
  <si>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</si>
  <si>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</si>
  <si>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</si>
  <si>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</si>
  <si>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</si>
  <si>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</si>
  <si>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</si>
  <si>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</si>
  <si>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</si>
  <si>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</si>
  <si>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</si>
  <si>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</si>
  <si>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</si>
  <si>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</si>
  <si>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</si>
  <si>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</si>
  <si>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</si>
  <si>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</si>
  <si>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</si>
  <si>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</si>
  <si>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</si>
  <si>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</si>
  <si>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</si>
  <si>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</si>
  <si>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</si>
  <si>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</si>
  <si>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</si>
  <si>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</si>
  <si>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</si>
  <si>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</si>
  <si>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</si>
  <si>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</si>
  <si>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</si>
  <si>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</si>
  <si>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</si>
  <si>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</si>
  <si>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</si>
  <si>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</si>
  <si>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</si>
  <si>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</si>
  <si>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</si>
  <si>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</si>
  <si>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</si>
  <si>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</si>
  <si>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</si>
  <si>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</si>
  <si>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</si>
  <si>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</si>
  <si>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</si>
  <si>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</si>
  <si>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</si>
  <si>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</si>
  <si>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</si>
  <si>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</si>
  <si>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</si>
  <si>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</si>
  <si>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</si>
  <si>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</si>
  <si>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</si>
  <si>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</si>
  <si>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</si>
  <si>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</si>
  <si>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</si>
  <si>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</si>
  <si>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</si>
  <si>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</si>
  <si>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</si>
  <si>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</si>
  <si>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</si>
  <si>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</si>
  <si>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</si>
  <si>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</si>
  <si>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</si>
  <si>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</si>
  <si>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</si>
  <si>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</si>
  <si>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</si>
  <si>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</si>
  <si>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</si>
  <si>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</si>
  <si>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</si>
  <si>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</si>
  <si>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</si>
  <si>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</si>
  <si>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</si>
  <si>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</si>
  <si>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</si>
  <si>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</si>
  <si>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</si>
  <si>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</si>
  <si>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</si>
  <si>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</si>
  <si>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</si>
  <si>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</si>
  <si>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</si>
  <si>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</si>
  <si>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</si>
  <si>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</si>
  <si>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</si>
  <si>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</si>
  <si>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</si>
  <si>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</si>
  <si>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</si>
  <si>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</si>
  <si>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</si>
  <si>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</si>
  <si>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</si>
  <si>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</si>
  <si>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</si>
  <si>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</si>
  <si>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</si>
  <si>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</si>
  <si>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</si>
  <si>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</si>
  <si>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</si>
  <si>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</si>
  <si>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</si>
  <si>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</si>
  <si>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</si>
  <si>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</si>
  <si>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</si>
  <si>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</si>
  <si>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</si>
  <si>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</si>
  <si>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</si>
  <si>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</si>
  <si>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</si>
  <si>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</si>
  <si>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</si>
  <si>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</si>
  <si>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</si>
  <si>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</si>
  <si>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</si>
  <si>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</si>
  <si>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</si>
  <si>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</si>
  <si>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</si>
  <si>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</si>
  <si>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</si>
  <si>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</si>
  <si>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</si>
  <si>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</si>
  <si>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</si>
  <si>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</si>
  <si>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</si>
  <si>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</si>
  <si>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</si>
  <si>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</si>
  <si>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</si>
  <si>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</si>
  <si>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</si>
  <si>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</si>
  <si>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</si>
  <si>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</si>
  <si>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</si>
  <si>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</si>
  <si>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</si>
  <si>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</si>
  <si>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</si>
  <si>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</si>
  <si>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</si>
  <si>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</si>
  <si>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</si>
  <si>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</si>
  <si>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</si>
  <si>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</si>
  <si>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</si>
  <si>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</si>
  <si>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</si>
  <si>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</si>
  <si>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</si>
  <si>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</si>
  <si>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</si>
  <si>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</si>
  <si>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</si>
  <si>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</si>
  <si>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</si>
  <si>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</si>
  <si>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</si>
  <si>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</si>
  <si>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</si>
  <si>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</si>
  <si>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</si>
  <si>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</si>
  <si>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</si>
  <si>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</si>
  <si>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</si>
  <si>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</si>
  <si>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</si>
  <si>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</si>
  <si>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</si>
  <si>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</si>
  <si>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</si>
  <si>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</si>
  <si>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</si>
  <si>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</si>
  <si>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</si>
  <si>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</si>
  <si>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</si>
  <si>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</si>
  <si>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</si>
  <si>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</si>
  <si>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</si>
  <si>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</si>
  <si>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</si>
  <si>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</si>
  <si>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</si>
  <si>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</si>
  <si>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</si>
  <si>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</si>
  <si>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</si>
  <si>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</si>
  <si>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</si>
  <si>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</si>
  <si>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</si>
  <si>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</si>
  <si>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</si>
  <si>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</si>
  <si>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</si>
  <si>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</si>
  <si>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</si>
  <si>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</si>
  <si>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</si>
  <si>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</si>
  <si>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</si>
  <si>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</si>
  <si>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</si>
  <si>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</si>
  <si>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</si>
  <si>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</si>
  <si>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</si>
  <si>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</si>
  <si>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</si>
  <si>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</si>
  <si>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</si>
  <si>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</si>
  <si>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</si>
  <si>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</si>
  <si>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</si>
  <si>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</si>
  <si>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</si>
  <si>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</si>
  <si>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</si>
  <si>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</si>
  <si>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</si>
  <si>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</si>
  <si>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</si>
  <si>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</si>
  <si>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</si>
  <si>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</si>
  <si>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</si>
  <si>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</si>
  <si>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</si>
  <si>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</si>
  <si>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</si>
  <si>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</si>
  <si>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</si>
  <si>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</si>
  <si>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</si>
  <si>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</si>
  <si>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</si>
  <si>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</si>
  <si>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</si>
  <si>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</si>
  <si>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</si>
  <si>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</si>
  <si>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</si>
  <si>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</si>
  <si>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</si>
  <si>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</si>
  <si>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</si>
  <si>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</si>
  <si>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</si>
  <si>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</si>
  <si>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</si>
  <si>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</si>
  <si>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</si>
  <si>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</si>
  <si>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</si>
  <si>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</si>
  <si>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</si>
  <si>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</si>
  <si>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</si>
  <si>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</si>
  <si>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</si>
  <si>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</si>
  <si>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</si>
  <si>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</si>
  <si>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</si>
  <si>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</si>
  <si>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</si>
  <si>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</si>
  <si>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</si>
  <si>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</si>
  <si>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</si>
  <si>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</si>
  <si>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</si>
  <si>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</si>
  <si>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</si>
  <si>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</si>
  <si>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</si>
  <si>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</si>
  <si>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</si>
  <si>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</si>
  <si>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</si>
  <si>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</si>
  <si>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</si>
  <si>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</si>
  <si>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</si>
  <si>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</si>
  <si>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</si>
  <si>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</si>
  <si>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</si>
  <si>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</si>
  <si>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</si>
  <si>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</si>
  <si>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</si>
  <si>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</si>
  <si>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</si>
  <si>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</si>
  <si>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</si>
  <si>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</si>
  <si>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</si>
  <si>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</si>
  <si>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</si>
  <si>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</si>
  <si>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</si>
  <si>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</si>
  <si>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</si>
  <si>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</si>
  <si>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</si>
  <si>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</si>
  <si>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</si>
  <si>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</si>
  <si>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</si>
  <si>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</si>
  <si>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</si>
  <si>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</si>
  <si>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</si>
  <si>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</si>
  <si>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</si>
  <si>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</si>
  <si>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</si>
  <si>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</si>
  <si>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</si>
  <si>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</si>
  <si>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</si>
  <si>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</si>
  <si>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</si>
  <si>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</si>
  <si>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</si>
  <si>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</si>
  <si>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</si>
  <si>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</si>
  <si>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</si>
  <si>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</si>
  <si>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</si>
  <si>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</si>
  <si>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</si>
  <si>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</si>
  <si>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</si>
  <si>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</si>
  <si>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</si>
  <si>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</si>
  <si>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</si>
  <si>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</si>
  <si>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</si>
  <si>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</si>
  <si>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</si>
  <si>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</si>
  <si>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</si>
  <si>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</si>
  <si>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</si>
  <si>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</si>
  <si>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</si>
  <si>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</si>
  <si>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</si>
  <si>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</si>
  <si>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</si>
  <si>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</si>
  <si>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</si>
  <si>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</si>
  <si>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</si>
  <si>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</si>
  <si>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</si>
  <si>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</si>
  <si>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</si>
  <si>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</si>
  <si>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</si>
  <si>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</si>
  <si>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</si>
  <si>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</si>
  <si>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</si>
  <si>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</si>
  <si>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</si>
  <si>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</si>
  <si>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</si>
  <si>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</si>
  <si>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</si>
  <si>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</si>
  <si>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</si>
  <si>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</si>
  <si>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</si>
  <si>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</si>
  <si>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</si>
  <si>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</si>
  <si>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</si>
  <si>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</si>
  <si>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</si>
  <si>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</si>
  <si>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</si>
  <si>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</si>
  <si>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</si>
  <si>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</si>
  <si>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</si>
  <si>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</si>
  <si>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</si>
  <si>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</si>
  <si>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</si>
  <si>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</si>
  <si>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</si>
  <si>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</si>
  <si>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</si>
  <si>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</si>
  <si>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</si>
  <si>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</si>
  <si>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</si>
  <si>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</si>
  <si>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</si>
  <si>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</si>
  <si>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</si>
  <si>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</si>
  <si>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</si>
  <si>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</si>
  <si>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</si>
  <si>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</si>
  <si>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</si>
  <si>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</si>
  <si>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</si>
  <si>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</si>
  <si>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</si>
  <si>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</si>
  <si>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</si>
  <si>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</si>
  <si>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</si>
  <si>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</si>
  <si>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</si>
  <si>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</si>
  <si>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</si>
  <si>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</si>
  <si>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</si>
  <si>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</si>
  <si>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</si>
  <si>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</si>
  <si>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</si>
  <si>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</si>
  <si>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</si>
  <si>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</si>
  <si>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</si>
  <si>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</si>
  <si>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</si>
  <si>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</si>
  <si>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</si>
  <si>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</si>
  <si>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</si>
  <si>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</si>
  <si>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</si>
  <si>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</si>
  <si>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</si>
  <si>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</si>
  <si>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</si>
  <si>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</si>
  <si>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</si>
  <si>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</si>
  <si>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</si>
  <si>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</si>
  <si>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</si>
  <si>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</si>
  <si>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</si>
  <si>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</si>
  <si>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</si>
  <si>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</si>
  <si>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</si>
  <si>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</si>
  <si>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</si>
  <si>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</si>
  <si>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</si>
  <si>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</si>
  <si>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</si>
  <si>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</si>
  <si>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</si>
  <si>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</si>
  <si>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</si>
  <si>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</si>
  <si>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</si>
  <si>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</si>
  <si>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</si>
  <si>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</si>
  <si>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</si>
  <si>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</si>
  <si>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</si>
  <si>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</si>
  <si>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</si>
  <si>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</si>
  <si>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</si>
  <si>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</si>
  <si>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</si>
  <si>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</si>
  <si>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</si>
  <si>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</si>
  <si>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</si>
  <si>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</si>
  <si>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</si>
  <si>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</si>
  <si>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</si>
  <si>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</si>
  <si>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</si>
  <si>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</si>
  <si>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</si>
  <si>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</si>
  <si>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</si>
  <si>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</si>
  <si>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</si>
  <si>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</si>
  <si>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</si>
  <si>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</si>
  <si>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</si>
  <si>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</si>
  <si>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</si>
  <si>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</si>
  <si>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</si>
  <si>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</si>
  <si>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</si>
  <si>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</si>
  <si>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</si>
  <si>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</si>
  <si>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</si>
  <si>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</si>
  <si>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</si>
  <si>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</si>
  <si>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</si>
  <si>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</si>
  <si>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</si>
  <si>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</si>
  <si>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</si>
  <si>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</si>
  <si>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</si>
  <si>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</si>
  <si>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</si>
  <si>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</si>
  <si>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</si>
  <si>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</si>
  <si>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</si>
  <si>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</si>
  <si>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</si>
  <si>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</si>
  <si>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</si>
  <si>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</si>
  <si>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</si>
  <si>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</si>
  <si>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</si>
  <si>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</si>
  <si>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</si>
  <si>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</si>
  <si>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</si>
  <si>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</si>
  <si>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</si>
  <si>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</si>
  <si>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</si>
  <si>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</si>
  <si>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</si>
  <si>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</si>
  <si>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</si>
  <si>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</si>
  <si>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</si>
  <si>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</si>
  <si>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</si>
  <si>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</si>
  <si>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</si>
  <si>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</si>
  <si>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</si>
  <si>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</si>
  <si>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</si>
  <si>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</si>
  <si>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</si>
  <si>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</si>
  <si>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</si>
  <si>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</si>
  <si>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</si>
  <si>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</si>
  <si>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</si>
  <si>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</si>
  <si>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</si>
  <si>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</si>
  <si>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</si>
  <si>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</si>
  <si>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</si>
  <si>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</si>
  <si>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</si>
  <si>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</si>
  <si>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</si>
  <si>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</si>
  <si>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</si>
  <si>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</si>
  <si>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</si>
  <si>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</si>
  <si>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</si>
  <si>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</si>
  <si>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</si>
  <si>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</si>
  <si>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</si>
  <si>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</si>
  <si>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</si>
  <si>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</si>
  <si>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</si>
  <si>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</si>
  <si>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</si>
  <si>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</si>
  <si>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</si>
  <si>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</si>
  <si>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</si>
  <si>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</si>
  <si>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</si>
  <si>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</si>
  <si>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</si>
  <si>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</si>
  <si>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</si>
  <si>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</si>
  <si>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</si>
  <si>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</si>
  <si>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</si>
  <si>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</si>
  <si>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</si>
  <si>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</si>
  <si>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</si>
  <si>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</si>
  <si>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</si>
  <si>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</si>
  <si>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</si>
  <si>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</si>
  <si>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</si>
  <si>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</si>
  <si>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</si>
  <si>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</si>
  <si>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</si>
  <si>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</si>
  <si>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</si>
  <si>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</si>
  <si>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</si>
  <si>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</si>
  <si>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</si>
  <si>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</si>
  <si>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</si>
  <si>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</si>
  <si>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</si>
  <si>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</si>
  <si>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</si>
  <si>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</si>
  <si>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</si>
  <si>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</si>
  <si>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</si>
  <si>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</si>
  <si>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</si>
  <si>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</si>
  <si>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</si>
  <si>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</si>
  <si>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</si>
  <si>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</si>
  <si>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</si>
  <si>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</si>
  <si>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</si>
  <si>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</si>
  <si>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</si>
  <si>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</si>
  <si>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</si>
  <si>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</si>
  <si>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</si>
  <si>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</si>
  <si>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</si>
  <si>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</si>
  <si>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</si>
  <si>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</si>
  <si>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</si>
  <si>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</si>
  <si>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</si>
  <si>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</si>
  <si>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</si>
  <si>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</si>
  <si>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</si>
  <si>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</si>
  <si>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</si>
  <si>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</si>
  <si>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</si>
  <si>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</si>
  <si>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</si>
  <si>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</si>
  <si>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</si>
  <si>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</si>
  <si>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</si>
  <si>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</si>
  <si>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</si>
  <si>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</si>
  <si>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</si>
  <si>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</si>
  <si>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</si>
  <si>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</si>
  <si>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</si>
  <si>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</si>
  <si>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</si>
  <si>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</si>
  <si>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</si>
  <si>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</si>
  <si>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</si>
  <si>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</si>
  <si>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</si>
  <si>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</si>
  <si>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</si>
  <si>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</si>
  <si>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</si>
  <si>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</si>
  <si>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</si>
  <si>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</si>
  <si>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</si>
  <si>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</si>
  <si>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</si>
  <si>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</si>
  <si>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</si>
  <si>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</si>
  <si>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</si>
  <si>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</si>
  <si>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</si>
  <si>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</si>
  <si>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</si>
  <si>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</si>
  <si>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</si>
  <si>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</si>
  <si>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</si>
  <si>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</si>
  <si>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</si>
  <si>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</si>
  <si>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</si>
  <si>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</si>
  <si>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</si>
  <si>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</si>
  <si>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</si>
  <si>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</si>
  <si>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</si>
  <si>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</si>
  <si>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</si>
  <si>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</si>
  <si>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</si>
  <si>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</si>
  <si>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</si>
  <si>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</si>
  <si>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</si>
  <si>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</si>
  <si>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</si>
  <si>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</si>
  <si>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</si>
  <si>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</si>
  <si>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</si>
  <si>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</si>
  <si>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</si>
  <si>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</si>
  <si>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</si>
  <si>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</si>
  <si>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</si>
  <si>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</si>
  <si>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</si>
  <si>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</si>
  <si>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</si>
  <si>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</si>
  <si>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</si>
  <si>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</si>
  <si>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</si>
  <si>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</si>
  <si>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</si>
  <si>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</si>
  <si>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</si>
  <si>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</si>
  <si>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</si>
  <si>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</si>
  <si>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</si>
  <si>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</si>
  <si>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</si>
  <si>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</si>
  <si>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</si>
  <si>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</si>
  <si>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</si>
  <si>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</si>
  <si>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</si>
  <si>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</si>
  <si>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</si>
  <si>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</si>
  <si>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</si>
  <si>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</si>
  <si>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</si>
  <si>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</si>
  <si>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</si>
  <si>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</si>
  <si>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</si>
  <si>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</si>
  <si>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</si>
  <si>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</si>
  <si>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</si>
  <si>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</si>
  <si>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</si>
  <si>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</si>
  <si>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</si>
  <si>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</si>
  <si>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</si>
  <si>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</si>
  <si>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</si>
  <si>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</si>
  <si>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</si>
  <si>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</si>
  <si>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</si>
  <si>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</si>
  <si>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</si>
  <si>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</si>
  <si>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</si>
  <si>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</si>
  <si>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</si>
  <si>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</si>
  <si>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</si>
  <si>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</si>
  <si>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</si>
  <si>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</si>
  <si>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</si>
  <si>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</si>
  <si>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</si>
  <si>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</si>
  <si>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</si>
  <si>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</si>
  <si>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</si>
  <si>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</si>
  <si>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</si>
  <si>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</si>
  <si>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</si>
  <si>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</si>
  <si>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</si>
  <si>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</si>
  <si>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</si>
  <si>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</si>
  <si>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</si>
  <si>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</si>
  <si>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</si>
  <si>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</si>
  <si>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</si>
  <si>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</si>
  <si>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</si>
  <si>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</si>
  <si>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</si>
  <si>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</si>
  <si>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</si>
  <si>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</si>
  <si>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</si>
  <si>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</si>
  <si>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</si>
  <si>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</si>
  <si>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</si>
  <si>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</si>
  <si>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</si>
  <si>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</si>
  <si>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</si>
  <si>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</si>
  <si>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</si>
  <si>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</si>
  <si>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</si>
  <si>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</si>
  <si>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</si>
  <si>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</si>
  <si>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</si>
  <si>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</si>
  <si>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</si>
  <si>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</si>
  <si>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</si>
  <si>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</si>
  <si>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</si>
  <si>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</si>
  <si>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</si>
  <si>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</si>
  <si>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</si>
  <si>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</si>
  <si>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</si>
  <si>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</si>
  <si>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</si>
  <si>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</si>
  <si>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</si>
  <si>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</si>
  <si>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</si>
  <si>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</si>
  <si>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</si>
  <si>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</si>
  <si>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</si>
  <si>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</si>
  <si>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</si>
  <si>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</si>
  <si>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</si>
  <si>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</si>
  <si>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</si>
  <si>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</si>
  <si>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</si>
  <si>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</si>
  <si>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</si>
  <si>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</si>
  <si>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</si>
  <si>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</si>
  <si>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</si>
  <si>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</si>
  <si>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</si>
  <si>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</si>
  <si>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</si>
  <si>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</si>
  <si>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</si>
  <si>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</si>
  <si>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</si>
  <si>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</si>
  <si>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</si>
  <si>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</si>
  <si>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</si>
  <si>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</si>
  <si>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</si>
  <si>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</si>
  <si>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</si>
  <si>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</si>
  <si>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</si>
  <si>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</si>
  <si>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</si>
  <si>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</si>
  <si>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</si>
  <si>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</si>
  <si>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</si>
  <si>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</si>
  <si>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</si>
  <si>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</si>
  <si>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</si>
  <si>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</si>
  <si>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</si>
  <si>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</si>
  <si>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</si>
  <si>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</si>
  <si>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</si>
  <si>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</si>
  <si>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</si>
  <si>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</si>
  <si>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</si>
  <si>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</si>
  <si>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</si>
  <si>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</si>
  <si>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</si>
  <si>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</si>
  <si>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</si>
  <si>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</si>
  <si>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</si>
  <si>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</si>
  <si>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</si>
  <si>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</si>
  <si>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</si>
  <si>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</si>
  <si>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</si>
  <si>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</si>
  <si>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</si>
  <si>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</si>
  <si>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</si>
  <si>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</si>
  <si>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</si>
  <si>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</si>
  <si>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</si>
  <si>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</si>
  <si>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</si>
  <si>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</si>
  <si>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</si>
  <si>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</si>
  <si>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</si>
  <si>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</si>
  <si>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</si>
  <si>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</si>
  <si>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</si>
  <si>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</si>
  <si>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</si>
  <si>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</si>
  <si>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</si>
  <si>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</si>
  <si>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</si>
  <si>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</si>
  <si>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</si>
  <si>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</si>
  <si>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</si>
  <si>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</si>
  <si>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</si>
  <si>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</si>
  <si>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</si>
  <si>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</si>
  <si>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</si>
  <si>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</si>
  <si>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</si>
  <si>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</si>
  <si>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</si>
  <si>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</si>
  <si>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</si>
  <si>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</si>
  <si>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</si>
  <si>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</si>
  <si>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</si>
  <si>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</si>
  <si>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</si>
  <si>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</si>
  <si>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</si>
  <si>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</si>
  <si>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</si>
  <si>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</si>
  <si>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</si>
  <si>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</si>
  <si>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</si>
  <si>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</si>
  <si>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</si>
  <si>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</si>
  <si>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</si>
  <si>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</si>
  <si>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</si>
  <si>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</si>
  <si>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</si>
  <si>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</si>
  <si>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</si>
  <si>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</si>
  <si>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</si>
  <si>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</si>
  <si>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</si>
  <si>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</si>
  <si>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</si>
  <si>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</si>
  <si>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</si>
  <si>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</si>
  <si>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</si>
  <si>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</si>
  <si>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</si>
  <si>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</si>
  <si>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</si>
  <si>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</si>
  <si>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</si>
  <si>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</si>
  <si>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</si>
  <si>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</si>
  <si>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</si>
  <si>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</si>
  <si>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</si>
  <si>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</si>
  <si>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</si>
  <si>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</si>
  <si>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</si>
  <si>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</si>
  <si>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</si>
  <si>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</si>
  <si>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</si>
  <si>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</si>
  <si>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</si>
  <si>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</si>
  <si>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</si>
  <si>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</si>
  <si>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</si>
  <si>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</si>
  <si>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</si>
  <si>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</si>
  <si>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</si>
  <si>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</si>
  <si>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</si>
  <si>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</si>
  <si>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</si>
  <si>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</si>
  <si>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</si>
  <si>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</si>
  <si>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</si>
  <si>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</si>
  <si>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</si>
  <si>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</si>
  <si>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</si>
  <si>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</si>
  <si>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</si>
  <si>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</si>
  <si>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</si>
  <si>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</si>
  <si>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</si>
  <si>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</si>
  <si>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</si>
  <si>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</si>
  <si>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</si>
  <si>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</si>
  <si>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</si>
  <si>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</si>
  <si>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</si>
  <si>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</si>
  <si>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</si>
  <si>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</si>
  <si>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</si>
  <si>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</si>
  <si>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</si>
  <si>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</si>
  <si>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</si>
  <si>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</si>
  <si>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</si>
  <si>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</si>
  <si>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</si>
  <si>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</si>
  <si>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</si>
  <si>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</si>
  <si>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</si>
  <si>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</si>
  <si>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</si>
  <si>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</si>
  <si>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</si>
  <si>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</si>
  <si>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</si>
  <si>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</si>
  <si>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</si>
  <si>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</si>
  <si>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</si>
  <si>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</si>
  <si>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</si>
  <si>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</si>
  <si>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</si>
  <si>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</si>
  <si>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</si>
  <si>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</si>
  <si>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</si>
  <si>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</si>
  <si>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</si>
  <si>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</si>
  <si>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</si>
  <si>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</si>
  <si>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</si>
  <si>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</si>
  <si>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</si>
  <si>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</si>
  <si>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</si>
  <si>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</si>
  <si>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</si>
  <si>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</si>
  <si>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</si>
  <si>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</si>
  <si>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</si>
  <si>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</si>
  <si>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</si>
  <si>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</si>
  <si>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</si>
  <si>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</si>
  <si>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</si>
  <si>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</si>
  <si>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</si>
  <si>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</si>
  <si>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</si>
  <si>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</si>
  <si>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</si>
  <si>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</si>
  <si>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</si>
  <si>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</si>
  <si>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</si>
  <si>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</si>
  <si>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</si>
  <si>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</si>
  <si>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</si>
  <si>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</si>
  <si>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</si>
  <si>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</si>
  <si>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</si>
  <si>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</si>
  <si>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</si>
  <si>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</si>
  <si>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</si>
  <si>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</si>
  <si>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</si>
  <si>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</si>
  <si>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</si>
  <si>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</si>
  <si>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</si>
  <si>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</si>
  <si>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</si>
  <si>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</si>
  <si>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</si>
  <si>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</si>
  <si>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</si>
  <si>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</si>
  <si>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</si>
  <si>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</si>
  <si>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</si>
  <si>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</si>
  <si>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</si>
  <si>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</si>
  <si>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</si>
  <si>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</si>
  <si>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</si>
  <si>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</si>
  <si>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</si>
  <si>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</si>
  <si>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</si>
  <si>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</si>
  <si>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</si>
  <si>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</si>
  <si>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</si>
  <si>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</si>
  <si>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</si>
  <si>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</si>
  <si>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</si>
  <si>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</si>
  <si>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</si>
  <si>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</si>
  <si>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</si>
  <si>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</si>
  <si>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</si>
  <si>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</si>
  <si>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</si>
  <si>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</si>
  <si>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</si>
  <si>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</si>
  <si>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</si>
  <si>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</si>
  <si>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</si>
  <si>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</si>
  <si>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</si>
  <si>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</si>
  <si>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</si>
  <si>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</si>
  <si>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</si>
  <si>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</si>
  <si>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</si>
  <si>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</si>
  <si>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</si>
  <si>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</si>
  <si>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</si>
  <si>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</si>
  <si>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</si>
  <si>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</si>
  <si>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</si>
  <si>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</si>
  <si>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</si>
  <si>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</si>
  <si>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</si>
  <si>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</si>
  <si>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</si>
  <si>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</si>
  <si>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</si>
  <si>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</si>
  <si>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</si>
  <si>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</si>
  <si>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</si>
  <si>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</si>
  <si>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</si>
  <si>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</si>
  <si>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</si>
  <si>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</si>
  <si>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</si>
  <si>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</si>
  <si>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</si>
  <si>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</si>
  <si>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</si>
  <si>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</si>
  <si>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</si>
  <si>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</si>
  <si>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</si>
  <si>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</si>
  <si>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</si>
  <si>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</si>
  <si>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</si>
  <si>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</si>
  <si>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</si>
  <si>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</si>
  <si>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</si>
  <si>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</si>
  <si>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</si>
  <si>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</si>
  <si>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</si>
  <si>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</si>
  <si>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</si>
  <si>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</si>
  <si>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</si>
  <si>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</si>
  <si>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</si>
  <si>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</si>
  <si>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</si>
  <si>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</si>
  <si>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</si>
  <si>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</si>
  <si>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</si>
  <si>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</si>
  <si>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</si>
  <si>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</si>
  <si>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</si>
  <si>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</si>
  <si>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</si>
  <si>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</si>
  <si>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</si>
  <si>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</si>
  <si>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</si>
  <si>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</si>
  <si>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</si>
  <si>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</si>
  <si>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</si>
  <si>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</si>
  <si>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</si>
  <si>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</si>
  <si>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</si>
  <si>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</si>
  <si>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</si>
  <si>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</si>
  <si>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</si>
  <si>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</si>
  <si>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</si>
  <si>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</si>
  <si>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</si>
  <si>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</si>
  <si>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</si>
  <si>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</si>
  <si>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</si>
  <si>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</si>
  <si>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</si>
  <si>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</si>
  <si>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</si>
  <si>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</si>
  <si>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</si>
  <si>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</si>
  <si>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</si>
  <si>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</si>
  <si>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</si>
  <si>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</si>
  <si>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</si>
  <si>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</si>
  <si>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</si>
  <si>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</si>
  <si>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</si>
  <si>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</si>
  <si>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</si>
  <si>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</si>
  <si>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</si>
  <si>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</si>
  <si>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</si>
  <si>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</si>
  <si>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</si>
  <si>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</si>
  <si>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</si>
  <si>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</si>
  <si>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</si>
  <si>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</si>
  <si>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</si>
  <si>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</si>
  <si>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</si>
  <si>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</si>
  <si>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</si>
  <si>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</si>
  <si>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</si>
  <si>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</si>
  <si>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</si>
  <si>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</si>
  <si>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</si>
  <si>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</si>
  <si>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</si>
  <si>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</si>
  <si>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</si>
  <si>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</si>
  <si>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</si>
  <si>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</si>
  <si>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</si>
  <si>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</si>
  <si>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</si>
  <si>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</si>
  <si>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</si>
  <si>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</si>
  <si>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</si>
  <si>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</si>
  <si>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</si>
  <si>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</si>
  <si>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</si>
  <si>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</si>
  <si>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</si>
  <si>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</si>
  <si>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</si>
  <si>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</si>
  <si>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</si>
  <si>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</si>
  <si>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</si>
  <si>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</si>
  <si>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</si>
  <si>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</si>
  <si>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</si>
  <si>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</si>
  <si>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</si>
  <si>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</si>
  <si>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</si>
  <si>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</si>
  <si>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</si>
  <si>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</si>
  <si>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</si>
  <si>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</si>
  <si>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</si>
  <si>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</si>
  <si>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</si>
  <si>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</si>
  <si>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</si>
  <si>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</si>
  <si>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</si>
  <si>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</si>
  <si>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</si>
  <si>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</si>
  <si>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</si>
  <si>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</si>
  <si>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</si>
  <si>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</si>
  <si>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</si>
  <si>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</si>
  <si>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</si>
  <si>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</si>
  <si>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</si>
  <si>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</si>
  <si>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</si>
  <si>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</si>
  <si>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</si>
  <si>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</si>
  <si>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</si>
  <si>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</si>
  <si>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</si>
  <si>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</si>
  <si>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</si>
  <si>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</si>
  <si>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</si>
  <si>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</si>
  <si>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</si>
  <si>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</si>
  <si>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</si>
  <si>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</si>
  <si>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</si>
  <si>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</si>
  <si>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</si>
  <si>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</si>
  <si>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</si>
  <si>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</si>
  <si>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</si>
  <si>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</si>
  <si>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</si>
  <si>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</si>
  <si>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</si>
  <si>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</si>
  <si>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</si>
  <si>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</si>
  <si>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</si>
  <si>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</si>
  <si>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</si>
  <si>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</si>
  <si>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</si>
  <si>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</si>
  <si>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</si>
  <si>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</si>
  <si>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</si>
  <si>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</si>
  <si>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</si>
  <si>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</si>
  <si>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</si>
  <si>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</si>
  <si>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</si>
  <si>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</si>
  <si>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</si>
  <si>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</si>
  <si>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</si>
  <si>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</si>
  <si>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</si>
  <si>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</si>
  <si>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</si>
  <si>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</si>
  <si>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</si>
  <si>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</si>
  <si>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</si>
  <si>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</si>
  <si>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</si>
  <si>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</si>
  <si>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</si>
  <si>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</si>
  <si>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</si>
  <si>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</si>
  <si>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</si>
  <si>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</si>
  <si>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</si>
  <si>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</si>
  <si>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</si>
  <si>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</si>
  <si>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</si>
  <si>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</si>
  <si>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</si>
  <si>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</si>
  <si>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</si>
  <si>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</si>
  <si>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</si>
  <si>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</si>
  <si>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</si>
  <si>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</si>
  <si>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</si>
  <si>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</si>
  <si>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</si>
  <si>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</si>
  <si>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</si>
  <si>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</si>
  <si>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</si>
  <si>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</si>
  <si>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</si>
  <si>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</si>
  <si>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</si>
  <si>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</si>
  <si>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</si>
  <si>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</si>
  <si>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</si>
  <si>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</si>
  <si>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</si>
  <si>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</si>
  <si>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</si>
  <si>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</si>
  <si>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</si>
  <si>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</si>
  <si>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</si>
  <si>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</si>
  <si>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</si>
  <si>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</si>
  <si>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</si>
  <si>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</si>
  <si>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</si>
  <si>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</si>
  <si>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</si>
  <si>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</si>
  <si>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</si>
  <si>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</si>
  <si>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</si>
  <si>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</si>
  <si>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</si>
  <si>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</si>
  <si>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</si>
  <si>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</si>
  <si>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</si>
  <si>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</si>
  <si>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</si>
  <si>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</si>
  <si>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</si>
  <si>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</si>
  <si>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</si>
  <si>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</si>
  <si>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</si>
  <si>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</si>
  <si>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</si>
  <si>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</si>
  <si>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</si>
  <si>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</si>
  <si>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</si>
  <si>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</si>
  <si>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</si>
  <si>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</si>
  <si>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</si>
  <si>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</si>
  <si>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</si>
  <si>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</si>
  <si>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</si>
  <si>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</si>
  <si>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</si>
  <si>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</si>
  <si>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</si>
  <si>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</si>
  <si>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</si>
  <si>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</si>
  <si>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</si>
  <si>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</si>
  <si>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</si>
  <si>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</si>
  <si>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</si>
  <si>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</si>
  <si>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</si>
  <si>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</si>
  <si>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</si>
  <si>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</si>
  <si>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</si>
  <si>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</si>
  <si>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</si>
  <si>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</si>
  <si>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</si>
  <si>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</si>
  <si>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</si>
  <si>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</si>
  <si>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</si>
  <si>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</si>
  <si>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</si>
  <si>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</si>
  <si>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</si>
  <si>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</si>
  <si>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</si>
  <si>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</si>
  <si>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</si>
  <si>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</si>
  <si>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</si>
  <si>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</si>
  <si>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</si>
  <si>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</si>
  <si>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</si>
  <si>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</si>
  <si>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</si>
  <si>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</si>
  <si>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</si>
  <si>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</si>
  <si>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</si>
  <si>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</si>
  <si>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</si>
  <si>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</si>
  <si>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</si>
  <si>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</si>
  <si>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</si>
  <si>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</si>
  <si>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</si>
  <si>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</si>
  <si>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</si>
  <si>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</si>
  <si>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</si>
  <si>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</si>
  <si>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</si>
  <si>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</si>
  <si>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</si>
  <si>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</si>
  <si>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</si>
  <si>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</si>
  <si>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</si>
  <si>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</si>
  <si>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</si>
  <si>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</si>
  <si>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</si>
  <si>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</si>
  <si>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</si>
  <si>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</si>
  <si>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</si>
  <si>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</si>
  <si>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</si>
  <si>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</si>
  <si>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</si>
  <si>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</si>
  <si>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</si>
  <si>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</si>
  <si>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</si>
  <si>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</si>
  <si>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</si>
  <si>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</si>
  <si>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</si>
  <si>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</si>
  <si>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</si>
  <si>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</si>
  <si>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</si>
  <si>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</si>
  <si>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</si>
  <si>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</si>
  <si>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</si>
  <si>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</si>
  <si>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</si>
  <si>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</si>
  <si>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</si>
  <si>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</si>
  <si>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</si>
  <si>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</si>
  <si>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</si>
  <si>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</si>
  <si>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</si>
  <si>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</si>
  <si>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</si>
  <si>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</si>
  <si>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</si>
  <si>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</si>
  <si>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</si>
  <si>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</si>
  <si>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</si>
  <si>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</si>
  <si>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</si>
  <si>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</si>
  <si>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</si>
  <si>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</si>
  <si>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</si>
  <si>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</si>
  <si>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</si>
  <si>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</si>
  <si>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</si>
  <si>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</si>
  <si>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</si>
  <si>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</si>
  <si>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</si>
  <si>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</si>
  <si>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</si>
  <si>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</si>
  <si>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</si>
  <si>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</si>
  <si>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</si>
  <si>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</si>
  <si>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</si>
  <si>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</si>
  <si>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</si>
  <si>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</si>
  <si>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</si>
  <si>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</si>
  <si>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</si>
  <si>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</si>
  <si>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</si>
  <si>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</si>
  <si>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</si>
  <si>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</si>
  <si>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</si>
  <si>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</si>
  <si>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</si>
  <si>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</si>
  <si>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</si>
  <si>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</si>
  <si>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</si>
  <si>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</si>
  <si>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</si>
  <si>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</si>
  <si>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</si>
  <si>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</si>
  <si>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</si>
  <si>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</si>
  <si>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</si>
  <si>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</si>
  <si>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</si>
  <si>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</si>
  <si>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</si>
  <si>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</si>
  <si>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</si>
  <si>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</si>
  <si>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</si>
  <si>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</si>
  <si>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</si>
  <si>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</si>
  <si>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</si>
  <si>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</si>
  <si>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</si>
  <si>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</si>
  <si>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</si>
  <si>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</si>
  <si>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</si>
  <si>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</si>
  <si>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</si>
  <si>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</si>
  <si>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</si>
  <si>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</si>
  <si>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</si>
  <si>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</si>
  <si>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</si>
  <si>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</si>
  <si>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</si>
  <si>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</si>
  <si>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</si>
  <si>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</si>
  <si>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</si>
  <si>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</si>
  <si>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</si>
  <si>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</si>
  <si>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</si>
  <si>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</si>
  <si>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</si>
  <si>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</si>
  <si>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</si>
  <si>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</si>
  <si>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</si>
  <si>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</si>
  <si>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</si>
  <si>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</si>
  <si>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</si>
  <si>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</si>
  <si>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</si>
  <si>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</si>
  <si>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</si>
  <si>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</si>
  <si>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</si>
  <si>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</si>
  <si>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</si>
  <si>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</si>
  <si>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</si>
  <si>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</si>
  <si>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</si>
  <si>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</si>
  <si>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</si>
  <si>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</si>
  <si>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</si>
  <si>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</si>
  <si>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</si>
  <si>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</si>
  <si>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</si>
  <si>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</si>
  <si>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</si>
  <si>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</si>
  <si>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</si>
  <si>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</si>
  <si>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</si>
  <si>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</si>
  <si>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</si>
  <si>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</si>
  <si>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</si>
  <si>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</si>
  <si>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</si>
  <si>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</si>
  <si>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</si>
  <si>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</si>
  <si>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</si>
  <si>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</si>
  <si>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</si>
  <si>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</si>
  <si>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</si>
  <si>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</si>
  <si>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</si>
  <si>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</si>
  <si>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</si>
  <si>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</si>
  <si>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</si>
  <si>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</si>
  <si>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</si>
  <si>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</si>
  <si>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</si>
  <si>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</si>
  <si>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</si>
  <si>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</si>
  <si>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</si>
  <si>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</si>
  <si>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</si>
  <si>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</si>
  <si>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</si>
  <si>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</si>
  <si>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</si>
  <si>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</si>
  <si>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</si>
  <si>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</si>
  <si>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</si>
  <si>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</si>
  <si>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</si>
  <si>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</si>
  <si>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</si>
  <si>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</si>
  <si>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</si>
  <si>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</si>
  <si>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</si>
  <si>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</si>
  <si>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</si>
  <si>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</si>
  <si>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</si>
  <si>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</si>
  <si>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</si>
  <si>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</si>
  <si>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</si>
  <si>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</si>
  <si>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</si>
  <si>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</si>
  <si>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</si>
  <si>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</si>
  <si>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</si>
  <si>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</si>
  <si>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</si>
  <si>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</si>
  <si>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</si>
  <si>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</si>
  <si>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</si>
  <si>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</si>
  <si>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</si>
  <si>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</si>
  <si>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</si>
  <si>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</si>
  <si>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</si>
  <si>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</si>
  <si>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</si>
  <si>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</si>
  <si>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</si>
  <si>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</si>
  <si>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</si>
  <si>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</si>
  <si>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</si>
  <si>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</si>
  <si>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</si>
  <si>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</si>
  <si>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</si>
  <si>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</si>
  <si>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</si>
  <si>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</si>
  <si>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</si>
  <si>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</si>
  <si>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</si>
  <si>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</si>
  <si>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</si>
  <si>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</si>
  <si>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</si>
  <si>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</si>
  <si>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</si>
  <si>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</si>
  <si>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</si>
  <si>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</si>
  <si>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</si>
  <si>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</si>
  <si>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</si>
  <si>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</si>
  <si>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</si>
  <si>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</si>
  <si>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</si>
  <si>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</si>
  <si>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</si>
  <si>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</si>
  <si>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</si>
  <si>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</si>
  <si>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</si>
  <si>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</si>
  <si>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</si>
  <si>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</si>
  <si>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</si>
  <si>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</si>
  <si>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</si>
  <si>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</si>
  <si>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</si>
  <si>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</si>
  <si>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</si>
  <si>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</si>
  <si>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</si>
  <si>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</si>
  <si>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</si>
  <si>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</si>
  <si>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</si>
  <si>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</si>
  <si>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</si>
  <si>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</si>
  <si>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</si>
  <si>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</si>
  <si>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</si>
  <si>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</si>
  <si>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</si>
  <si>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</si>
  <si>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</si>
  <si>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</si>
  <si>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</si>
  <si>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</si>
  <si>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</si>
  <si>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</si>
  <si>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</si>
  <si>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</si>
  <si>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</si>
  <si>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</si>
  <si>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</si>
  <si>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</si>
  <si>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</si>
  <si>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</si>
  <si>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</si>
  <si>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</si>
  <si>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</si>
  <si>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</si>
  <si>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</si>
  <si>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</si>
  <si>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</si>
  <si>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</si>
  <si>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</si>
  <si>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</si>
  <si>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</si>
  <si>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</si>
  <si>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</si>
  <si>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</si>
  <si>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</si>
  <si>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</si>
  <si>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</si>
  <si>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</si>
  <si>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</si>
  <si>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</si>
  <si>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</si>
  <si>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</si>
  <si>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</si>
  <si>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</si>
  <si>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</si>
  <si>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</si>
  <si>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</si>
  <si>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</si>
  <si>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</si>
  <si>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</si>
  <si>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</si>
  <si>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</si>
  <si>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</si>
  <si>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</si>
  <si>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</si>
  <si>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</si>
  <si>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</si>
  <si>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</si>
  <si>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Sylvie Dal Degan</t>
  </si>
  <si>
    <t xml:space="preserve">conforme AFNOR T90-395 oct. 2003</t>
  </si>
  <si>
    <t xml:space="preserve">Arre</t>
  </si>
  <si>
    <t xml:space="preserve">Saint André de Majencoules</t>
  </si>
  <si>
    <t xml:space="preserve">06181906</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</si>
  <si>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</si>
  <si>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</si>
  <si>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</si>
  <si>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</si>
  <si>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</si>
  <si>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</si>
  <si>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</si>
  <si>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</si>
  <si>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</si>
  <si>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</si>
  <si>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</si>
  <si>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</si>
  <si>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</si>
  <si>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</si>
  <si>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</si>
  <si>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</si>
  <si>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</si>
  <si>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</si>
  <si>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</si>
  <si>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</si>
  <si>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</si>
  <si>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</si>
  <si>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</si>
  <si>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</si>
  <si>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</si>
  <si>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</si>
  <si>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</si>
  <si>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</si>
  <si>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</si>
  <si>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</si>
  <si>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</si>
  <si>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</si>
  <si>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</si>
  <si>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</si>
  <si>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</si>
  <si>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</si>
  <si>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</si>
  <si>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</si>
  <si>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</si>
  <si>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</si>
  <si>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</si>
  <si>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</si>
  <si>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</si>
  <si>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</si>
  <si>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</si>
  <si>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</si>
  <si>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</si>
  <si>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</si>
  <si>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</si>
  <si>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(13,986 %)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</si>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</sst>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1">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4">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9"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90" fillId="10" borderId="55" xfId="0" applyFont="true" applyBorder="true" applyAlignment="true" applyProtection="true">
      <alignment horizontal="center" vertical="bottom" textRotation="0" wrapText="false" indent="0" shrinkToFit="false"/>
      <protection locked="true" hidden="true"/>
    </xf>
    <xf numFmtId="172" fontId="27" fillId="11" borderId="56" xfId="0" applyFont="true" applyBorder="true" applyAlignment="true" applyProtection="true">
      <alignment horizontal="right" vertical="top" textRotation="0" wrapText="false" indent="0" shrinkToFit="false"/>
      <protection locked="true" hidden="true"/>
    </xf>
    <xf numFmtId="172" fontId="27" fillId="11" borderId="57" xfId="0" applyFont="true" applyBorder="true" applyAlignment="true" applyProtection="true">
      <alignment horizontal="left" vertical="top" textRotation="0" wrapText="false" indent="0" shrinkToFit="false"/>
      <protection locked="true" hidden="true"/>
    </xf>
    <xf numFmtId="172" fontId="59" fillId="11" borderId="49" xfId="0" applyFont="true" applyBorder="true" applyAlignment="true" applyProtection="true">
      <alignment horizontal="left" vertical="top" textRotation="0" wrapText="false" indent="0" shrinkToFit="false"/>
      <protection locked="true" hidden="true"/>
    </xf>
    <xf numFmtId="172" fontId="20" fillId="11"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91" fillId="11" borderId="60" xfId="0" applyFont="true" applyBorder="true" applyAlignment="true" applyProtection="true">
      <alignment horizontal="left" vertical="bottom" textRotation="0" wrapText="false" indent="0" shrinkToFit="false"/>
      <protection locked="true" hidden="true"/>
    </xf>
    <xf numFmtId="164" fontId="26" fillId="11" borderId="61" xfId="0" applyFont="true" applyBorder="true" applyAlignment="true" applyProtection="true">
      <alignment horizontal="right" vertical="top" textRotation="0" wrapText="false" indent="0" shrinkToFit="false"/>
      <protection locked="true" hidden="true"/>
    </xf>
    <xf numFmtId="164" fontId="92" fillId="11" borderId="62" xfId="0" applyFont="true" applyBorder="true" applyAlignment="true" applyProtection="true">
      <alignment horizontal="center" vertical="top" textRotation="0" wrapText="false" indent="0" shrinkToFit="false"/>
      <protection locked="true" hidden="true"/>
    </xf>
    <xf numFmtId="164" fontId="93" fillId="8" borderId="51" xfId="0" applyFont="true" applyBorder="true" applyAlignment="true" applyProtection="true">
      <alignment horizontal="center" vertical="top" textRotation="0" wrapText="false" indent="0" shrinkToFit="false"/>
      <protection locked="true" hidden="true"/>
    </xf>
    <xf numFmtId="164" fontId="94"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5"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6" fillId="10" borderId="25" xfId="0" applyFont="true" applyBorder="true" applyAlignment="true" applyProtection="true">
      <alignment horizontal="left" vertical="top" textRotation="0" wrapText="false" indent="0" shrinkToFit="false"/>
      <protection locked="true" hidden="true"/>
    </xf>
    <xf numFmtId="164" fontId="97" fillId="10" borderId="26" xfId="0" applyFont="true" applyBorder="true" applyAlignment="true" applyProtection="true">
      <alignment horizontal="left" vertical="top" textRotation="0" wrapText="false" indent="0" shrinkToFit="false"/>
      <protection locked="true" hidden="true"/>
    </xf>
    <xf numFmtId="164" fontId="97"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8" fillId="6" borderId="52" xfId="0" applyFont="true" applyBorder="true" applyAlignment="false" applyProtection="true">
      <alignment horizontal="general" vertical="bottom" textRotation="0" wrapText="false" indent="0" shrinkToFit="false"/>
      <protection locked="true" hidden="true"/>
    </xf>
    <xf numFmtId="172" fontId="20" fillId="12" borderId="43" xfId="0" applyFont="true" applyBorder="true" applyAlignment="true" applyProtection="true">
      <alignment horizontal="center" vertical="bottom" textRotation="0" wrapText="false" indent="0" shrinkToFit="false"/>
      <protection locked="false" hidden="false"/>
    </xf>
    <xf numFmtId="172" fontId="20" fillId="12"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2" borderId="68" xfId="0" applyFont="true" applyBorder="true" applyAlignment="true" applyProtection="true">
      <alignment horizontal="center" vertical="bottom" textRotation="0" wrapText="false" indent="0" shrinkToFit="false"/>
      <protection locked="false" hidden="false"/>
    </xf>
    <xf numFmtId="172" fontId="20" fillId="12"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2" borderId="72" xfId="0" applyFont="true" applyBorder="true" applyAlignment="true" applyProtection="true">
      <alignment horizontal="center" vertical="bottom" textRotation="0" wrapText="false" indent="0" shrinkToFit="false"/>
      <protection locked="false" hidden="false"/>
    </xf>
    <xf numFmtId="172" fontId="20" fillId="12"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6"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7"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2" borderId="76" xfId="0" applyFont="true" applyBorder="true" applyAlignment="true" applyProtection="true">
      <alignment horizontal="center" vertical="bottom" textRotation="0" wrapText="false" indent="0" shrinkToFit="false"/>
      <protection locked="false" hidden="false"/>
    </xf>
    <xf numFmtId="172" fontId="20" fillId="12"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2" borderId="79" xfId="0" applyFont="true" applyBorder="true" applyAlignment="true" applyProtection="true">
      <alignment horizontal="center" vertical="bottom" textRotation="0" wrapText="false" indent="0" shrinkToFit="false"/>
      <protection locked="false" hidden="false"/>
    </xf>
    <xf numFmtId="172" fontId="20" fillId="12"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7" borderId="39" xfId="0" applyFont="true" applyBorder="true" applyAlignment="false" applyProtection="true">
      <alignment horizontal="general" vertical="bottom" textRotation="0" wrapText="false" indent="0" shrinkToFit="false"/>
      <protection locked="true" hidden="true"/>
    </xf>
    <xf numFmtId="164" fontId="99"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100" fillId="9" borderId="58" xfId="0" applyFont="true" applyBorder="true" applyAlignment="false" applyProtection="true">
      <alignment horizontal="general" vertical="bottom" textRotation="0" wrapText="false" indent="0" shrinkToFit="false"/>
      <protection locked="true" hidden="true"/>
    </xf>
    <xf numFmtId="174" fontId="94"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4"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9"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101" fillId="6" borderId="0" xfId="0" applyFont="true" applyBorder="true" applyAlignment="false" applyProtection="true">
      <alignment horizontal="general" vertical="bottom" textRotation="0" wrapText="false" indent="0" shrinkToFit="false"/>
      <protection locked="true" hidden="true"/>
    </xf>
    <xf numFmtId="164" fontId="101" fillId="6" borderId="26" xfId="0" applyFont="true" applyBorder="true" applyAlignment="false" applyProtection="true">
      <alignment horizontal="general" vertical="bottom" textRotation="0" wrapText="false" indent="0" shrinkToFit="false"/>
      <protection locked="true" hidden="true"/>
    </xf>
    <xf numFmtId="164" fontId="101"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4" fillId="6" borderId="52" xfId="0" applyFont="true" applyBorder="true" applyAlignment="true" applyProtection="true">
      <alignment horizontal="center" vertical="bottom" textRotation="0" wrapText="false" indent="0" shrinkToFit="false"/>
      <protection locked="true" hidden="true"/>
    </xf>
    <xf numFmtId="175" fontId="94"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6"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4"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4" fillId="9"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4" fillId="7" borderId="32"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4" fillId="7" borderId="36"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3"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6"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7"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6"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3" borderId="22" xfId="0" applyFont="true" applyBorder="true" applyAlignment="false" applyProtection="false">
      <alignment horizontal="general" vertical="bottom" textRotation="0" wrapText="false" indent="0" shrinkToFit="false"/>
      <protection locked="true" hidden="false"/>
    </xf>
    <xf numFmtId="164" fontId="0" fillId="13" borderId="83" xfId="0" applyFont="false" applyBorder="true" applyAlignment="false" applyProtection="false">
      <alignment horizontal="general" vertical="bottom" textRotation="0" wrapText="false" indent="0" shrinkToFit="false"/>
      <protection locked="true" hidden="false"/>
    </xf>
    <xf numFmtId="164" fontId="0" fillId="13"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3"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6"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41138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11.2962962962963</v>
      </c>
      <c r="M5" s="293"/>
      <c r="N5" s="294"/>
      <c r="O5" s="295" t="n">
        <v>11.0952380952381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31</v>
      </c>
      <c r="C7" s="307" t="n">
        <v>69</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7.94117647058824</v>
      </c>
      <c r="O8" s="323" t="n">
        <f aca="false">AVERAGE(J23:J82)</f>
        <v>1.17647058823529</v>
      </c>
      <c r="P8" s="324"/>
      <c r="Q8" s="250"/>
      <c r="R8" s="250"/>
      <c r="S8" s="250"/>
      <c r="T8" s="250"/>
      <c r="U8" s="250"/>
      <c r="V8" s="250"/>
      <c r="W8" s="262"/>
      <c r="X8" s="263"/>
    </row>
    <row r="9" customFormat="false" ht="13.5" hidden="false" customHeight="false" outlineLevel="0" collapsed="false">
      <c r="A9" s="283" t="s">
        <v>2636</v>
      </c>
      <c r="B9" s="325" t="n">
        <v>26.1</v>
      </c>
      <c r="C9" s="326" t="n">
        <v>8.5</v>
      </c>
      <c r="D9" s="327"/>
      <c r="E9" s="327"/>
      <c r="F9" s="328" t="n">
        <f aca="false">($B9*$B$7+$C9*$C$7)/100</f>
        <v>13.956</v>
      </c>
      <c r="G9" s="329"/>
      <c r="H9" s="330"/>
      <c r="I9" s="331"/>
      <c r="J9" s="332"/>
      <c r="K9" s="313"/>
      <c r="L9" s="333"/>
      <c r="M9" s="322" t="s">
        <v>2637</v>
      </c>
      <c r="N9" s="323" t="n">
        <f aca="false">STDEV(I23:I82)</f>
        <v>5.83599379107036</v>
      </c>
      <c r="O9" s="323" t="n">
        <f aca="false">STDEV(J23:J82)</f>
        <v>0.951005659660279</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2</v>
      </c>
      <c r="L13" s="355"/>
      <c r="M13" s="366" t="s">
        <v>2648</v>
      </c>
      <c r="N13" s="367" t="n">
        <f aca="false">COUNTIF(F23:F82,"&gt;0")</f>
        <v>18</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17</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4</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6</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26.13</v>
      </c>
      <c r="C20" s="405" t="n">
        <f aca="false">SUM(C23:C82)</f>
        <v>8.53</v>
      </c>
      <c r="D20" s="406"/>
      <c r="E20" s="407" t="s">
        <v>2660</v>
      </c>
      <c r="F20" s="408" t="n">
        <f aca="false">($B20*$B$7+$C20*$C$7)/100</f>
        <v>13.986</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8.1003</v>
      </c>
      <c r="C21" s="418" t="n">
        <f aca="false">C20*C7/100</f>
        <v>5.8857</v>
      </c>
      <c r="D21" s="350" t="str">
        <f aca="false">IF(F21=0,"",IF((ABS(F21-F19))&gt;(0.2*F21),CONCATENATE(" rec. par taxa (",F21," %) supérieur à 20 % !"),""))</f>
        <v> rec. par taxa (13,986 %) supérieur à 20 % !</v>
      </c>
      <c r="E21" s="419" t="str">
        <f aca="false">IF(F21=0,"",IF((ABS(F21-F19))&gt;(0.2*F21),CONCATENATE("ATTENTION : écart entre rec. par grp (",F19," %) ","et",""),""))</f>
        <v>ATTENTION : écart entre rec. par grp (0 %) et</v>
      </c>
      <c r="F21" s="420" t="n">
        <f aca="false">B21+C21</f>
        <v>13.986</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20</v>
      </c>
      <c r="C23" s="445" t="n">
        <v>5</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9.65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9.65</v>
      </c>
      <c r="R23" s="456" t="n">
        <f aca="false">IF(OR(ISTEXT(H23),Q23=0),"",IF(Q23&lt;0.1,1,IF(Q23&lt;1,2,IF(Q23&lt;10,3,IF(Q23&lt;50,4,IF(Q23&gt;=50,5,""))))))</f>
        <v>3</v>
      </c>
      <c r="S23" s="456" t="n">
        <f aca="false">IF(ISERROR(R23*I23),0,R23*I23)</f>
        <v>18</v>
      </c>
      <c r="T23" s="456" t="n">
        <f aca="false">IF(ISERROR(R23*I23*J23),0,R23*I23*J23)</f>
        <v>18</v>
      </c>
      <c r="U23" s="456" t="n">
        <f aca="false">IF(ISERROR(R23*J23),0,R23*J23)</f>
        <v>3</v>
      </c>
      <c r="V23" s="457" t="n">
        <v>3</v>
      </c>
      <c r="W23" s="458"/>
      <c r="X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675</v>
      </c>
      <c r="B24" s="463" t="n">
        <v>6</v>
      </c>
      <c r="C24" s="464" t="n">
        <v>3</v>
      </c>
      <c r="D24" s="465" t="str">
        <f aca="false">IF(ISERROR(VLOOKUP($A24,'liste reference'!$A$7:$D$892,2,0)),IF(ISERROR(VLOOKUP($A24,'liste reference'!$B$7:$D$892,1,0)),"",VLOOKUP($A24,'liste reference'!$B$7:$D$892,1,0)),VLOOKUP($A24,'liste reference'!$A$7:$D$892,2,0))</f>
        <v>Diatoma sp.</v>
      </c>
      <c r="E24" s="465" t="e">
        <f aca="false">IF(D24="",0,VLOOKUP(D24,D$22:D23,1,0))</f>
        <v>#N/A</v>
      </c>
      <c r="F24" s="466" t="n">
        <f aca="false">($B24*$B$7+$C24*$C$7)/100</f>
        <v>3.93</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12</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Diatoma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6627</v>
      </c>
      <c r="Q24" s="455" t="n">
        <f aca="false">IF(ISTEXT(H24),"",(B24*$B$7/100)+(C24*$C$7/100))</f>
        <v>3.93</v>
      </c>
      <c r="R24" s="456" t="n">
        <f aca="false">IF(OR(ISTEXT(H24),Q24=0),"",IF(Q24&lt;0.1,1,IF(Q24&lt;1,2,IF(Q24&lt;10,3,IF(Q24&lt;50,4,IF(Q24&gt;=50,5,""))))))</f>
        <v>3</v>
      </c>
      <c r="S24" s="456" t="n">
        <f aca="false">IF(ISERROR(R24*I24),0,R24*I24)</f>
        <v>36</v>
      </c>
      <c r="T24" s="456" t="n">
        <f aca="false">IF(ISERROR(R24*I24*J24),0,R24*I24*J24)</f>
        <v>72</v>
      </c>
      <c r="U24" s="470" t="n">
        <f aca="false">IF(ISERROR(R24*J24),0,R24*J24)</f>
        <v>6</v>
      </c>
      <c r="V24" s="457" t="n">
        <v>6</v>
      </c>
      <c r="W24" s="471"/>
      <c r="Y24" s="459" t="str">
        <f aca="false">IF(A24="new.cod","NEWCOD",IF(AND((Z24=""),ISTEXT(A24)),A24,IF(Z24="","",INDEX('liste reference'!$A$7:$A$892,Z24))))</f>
        <v>DIASPX</v>
      </c>
      <c r="Z24" s="250" t="n">
        <f aca="false">IF(ISERROR(MATCH(A24,'liste reference'!$A$7:$A$892,0)),IF(ISERROR(MATCH(A24,'liste reference'!$B$7:$B$892,0)),"",(MATCH(A24,'liste reference'!$B$7:$B$892,0))),(MATCH(A24,'liste reference'!$A$7:$A$892,0)))</f>
        <v>210</v>
      </c>
      <c r="AA24" s="460"/>
      <c r="AB24" s="461"/>
      <c r="AC24" s="461"/>
      <c r="BC24" s="250" t="n">
        <f aca="false">IF(A24="","",1)</f>
        <v>1</v>
      </c>
    </row>
    <row r="25" customFormat="false" ht="12.75" hidden="false" customHeight="false" outlineLevel="0" collapsed="false">
      <c r="A25" s="462" t="s">
        <v>1040</v>
      </c>
      <c r="B25" s="463" t="n">
        <v>0.01</v>
      </c>
      <c r="C25" s="464"/>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0.0031</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0.0031</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0.01</v>
      </c>
      <c r="C26" s="464"/>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0.0031</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0.0031</v>
      </c>
      <c r="R26" s="456" t="n">
        <f aca="false">IF(OR(ISTEXT(H26),Q26=0),"",IF(Q26&lt;0.1,1,IF(Q26&lt;1,2,IF(Q26&lt;10,3,IF(Q26&lt;50,4,IF(Q26&gt;=50,5,""))))))</f>
        <v>1</v>
      </c>
      <c r="S26" s="456" t="n">
        <f aca="false">IF(ISERROR(R26*I26),0,R26*I26)</f>
        <v>15</v>
      </c>
      <c r="T26" s="456" t="n">
        <f aca="false">IF(ISERROR(R26*I26*J26),0,R26*I26*J26)</f>
        <v>30</v>
      </c>
      <c r="U26" s="470" t="n">
        <f aca="false">IF(ISERROR(R26*J26),0,R26*J26)</f>
        <v>2</v>
      </c>
      <c r="V26" s="457" t="n">
        <v>2</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1408</v>
      </c>
      <c r="B27" s="463"/>
      <c r="C27" s="464" t="n">
        <v>0.01</v>
      </c>
      <c r="D27" s="465" t="str">
        <f aca="false">IF(ISERROR(VLOOKUP($A27,'liste reference'!$A$7:$D$892,2,0)),IF(ISERROR(VLOOKUP($A27,'liste reference'!$B$7:$D$892,1,0)),"",VLOOKUP($A27,'liste reference'!$B$7:$D$892,1,0)),VLOOKUP($A27,'liste reference'!$A$7:$D$892,2,0))</f>
        <v>Melosira sp.</v>
      </c>
      <c r="E27" s="465" t="e">
        <f aca="false">IF(D27="",0,VLOOKUP(D27,D$22:D26,1,0))</f>
        <v>#N/A</v>
      </c>
      <c r="F27" s="466" t="n">
        <f aca="false">($B27*$B$7+$C27*$C$7)/100</f>
        <v>0.0069</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Melosira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8714</v>
      </c>
      <c r="Q27" s="455" t="n">
        <f aca="false">IF(ISTEXT(H27),"",(B27*$B$7/100)+(C27*$C$7/100))</f>
        <v>0.0069</v>
      </c>
      <c r="R27" s="456" t="n">
        <f aca="false">IF(OR(ISTEXT(H27),Q27=0),"",IF(Q27&lt;0.1,1,IF(Q27&lt;1,2,IF(Q27&lt;10,3,IF(Q27&lt;50,4,IF(Q27&gt;=50,5,""))))))</f>
        <v>1</v>
      </c>
      <c r="S27" s="456" t="n">
        <f aca="false">IF(ISERROR(R27*I27),0,R27*I27)</f>
        <v>10</v>
      </c>
      <c r="T27" s="456" t="n">
        <f aca="false">IF(ISERROR(R27*I27*J27),0,R27*I27*J27)</f>
        <v>10</v>
      </c>
      <c r="U27" s="470" t="n">
        <f aca="false">IF(ISERROR(R27*J27),0,R27*J27)</f>
        <v>1</v>
      </c>
      <c r="V27" s="457" t="n">
        <v>1</v>
      </c>
      <c r="W27" s="458"/>
      <c r="Y27" s="459" t="str">
        <f aca="false">IF(A27="new.cod","NEWCOD",IF(AND((Z27=""),ISTEXT(A27)),A27,IF(Z27="","",INDEX('liste reference'!$A$7:$A$892,Z27))))</f>
        <v>MELSPX</v>
      </c>
      <c r="Z27" s="250" t="n">
        <f aca="false">IF(ISERROR(MATCH(A27,'liste reference'!$A$7:$A$892,0)),IF(ISERROR(MATCH(A27,'liste reference'!$B$7:$B$892,0)),"",(MATCH(A27,'liste reference'!$B$7:$B$892,0))),(MATCH(A27,'liste reference'!$A$7:$A$892,0)))</f>
        <v>457</v>
      </c>
      <c r="AA27" s="460"/>
      <c r="AB27" s="461"/>
      <c r="AC27" s="461"/>
      <c r="BC27" s="250" t="n">
        <f aca="false">IF(A27="","",1)</f>
        <v>1</v>
      </c>
    </row>
    <row r="28" customFormat="false" ht="12.75" hidden="false" customHeight="false" outlineLevel="0" collapsed="false">
      <c r="A28" s="462" t="s">
        <v>1634</v>
      </c>
      <c r="B28" s="463" t="n">
        <v>0.02</v>
      </c>
      <c r="C28" s="464"/>
      <c r="D28" s="465" t="str">
        <f aca="false">IF(ISERROR(VLOOKUP($A28,'liste reference'!$A$7:$D$892,2,0)),IF(ISERROR(VLOOKUP($A28,'liste reference'!$B$7:$D$892,1,0)),"",VLOOKUP($A28,'liste reference'!$B$7:$D$892,1,0)),VLOOKUP($A28,'liste reference'!$A$7:$D$892,2,0))</f>
        <v>Oedogonium sp.</v>
      </c>
      <c r="E28" s="465" t="e">
        <f aca="false">IF(D28="",0,VLOOKUP(D28,D$22:D27,1,0))</f>
        <v>#N/A</v>
      </c>
      <c r="F28" s="466" t="n">
        <f aca="false">($B28*$B$7+$C28*$C$7)/100</f>
        <v>0.0062</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6</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Oedogonium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1134</v>
      </c>
      <c r="Q28" s="455" t="n">
        <f aca="false">IF(ISTEXT(H28),"",(B28*$B$7/100)+(C28*$C$7/100))</f>
        <v>0.0062</v>
      </c>
      <c r="R28" s="456" t="n">
        <f aca="false">IF(OR(ISTEXT(H28),Q28=0),"",IF(Q28&lt;0.1,1,IF(Q28&lt;1,2,IF(Q28&lt;10,3,IF(Q28&lt;50,4,IF(Q28&gt;=50,5,""))))))</f>
        <v>1</v>
      </c>
      <c r="S28" s="456" t="n">
        <f aca="false">IF(ISERROR(R28*I28),0,R28*I28)</f>
        <v>6</v>
      </c>
      <c r="T28" s="456" t="n">
        <f aca="false">IF(ISERROR(R28*I28*J28),0,R28*I28*J28)</f>
        <v>12</v>
      </c>
      <c r="U28" s="470" t="n">
        <f aca="false">IF(ISERROR(R28*J28),0,R28*J28)</f>
        <v>2</v>
      </c>
      <c r="V28" s="457" t="n">
        <v>2</v>
      </c>
      <c r="W28" s="458"/>
      <c r="Y28" s="459" t="str">
        <f aca="false">IF(A28="new.cod","NEWCOD",IF(AND((Z28=""),ISTEXT(A28)),A28,IF(Z28="","",INDEX('liste reference'!$A$7:$A$892,Z28))))</f>
        <v>OEDSPX</v>
      </c>
      <c r="Z28" s="250" t="n">
        <f aca="false">IF(ISERROR(MATCH(A28,'liste reference'!$A$7:$A$892,0)),IF(ISERROR(MATCH(A28,'liste reference'!$B$7:$B$892,0)),"",(MATCH(A28,'liste reference'!$B$7:$B$892,0))),(MATCH(A28,'liste reference'!$A$7:$A$892,0)))</f>
        <v>542</v>
      </c>
      <c r="AA28" s="460"/>
      <c r="AB28" s="461"/>
      <c r="AC28" s="461"/>
      <c r="BC28" s="250" t="n">
        <f aca="false">IF(A28="","",1)</f>
        <v>1</v>
      </c>
    </row>
    <row r="29" customFormat="false" ht="12.75" hidden="false" customHeight="false" outlineLevel="0" collapsed="false">
      <c r="A29" s="462" t="s">
        <v>2304</v>
      </c>
      <c r="B29" s="463" t="n">
        <v>0.03</v>
      </c>
      <c r="C29" s="464"/>
      <c r="D29" s="465" t="str">
        <f aca="false">IF(ISERROR(VLOOKUP($A29,'liste reference'!$A$7:$D$892,2,0)),IF(ISERROR(VLOOKUP($A29,'liste reference'!$B$7:$D$892,1,0)),"",VLOOKUP($A29,'liste reference'!$B$7:$D$892,1,0)),VLOOKUP($A29,'liste reference'!$A$7:$D$892,2,0))</f>
        <v>Schizothrix sp.</v>
      </c>
      <c r="E29" s="465" t="e">
        <f aca="false">IF(D29="",0,VLOOKUP(D29,D$22:D28,1,0))</f>
        <v>#N/A</v>
      </c>
      <c r="F29" s="466" t="n">
        <f aca="false">($B29*$B$7+$C29*$C$7)/100</f>
        <v>0.0093</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Schizothrix sp.</v>
      </c>
      <c r="L29" s="469"/>
      <c r="M29" s="469"/>
      <c r="N29" s="469"/>
      <c r="O29" s="454" t="str">
        <f aca="false">IF(AA29="Cf.","Cf.","")</f>
        <v>Cf.</v>
      </c>
      <c r="P29" s="454" t="n">
        <f aca="false">IF($A29="NEWCOD",IF($AC29="","No",$AC29),IF(ISTEXT($E29),"DEJA SAISI !",IF($A29="","",IF(ISERROR(VLOOKUP($A29,'liste reference'!A:S,19,FALSE())),IF(ISERROR(VLOOKUP($A29,'liste reference'!B:S,19,FALSE())),"",VLOOKUP($A29,'liste reference'!B:S,19,FALSE())),VLOOKUP($A29,'liste reference'!A:S,19,FALSE())))))</f>
        <v>6436</v>
      </c>
      <c r="Q29" s="455" t="n">
        <f aca="false">IF(ISTEXT(H29),"",(B29*$B$7/100)+(C29*$C$7/100))</f>
        <v>0.0093</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SCZSPX</v>
      </c>
      <c r="Z29" s="250" t="n">
        <f aca="false">IF(ISERROR(MATCH(A29,'liste reference'!$A$7:$A$892,0)),IF(ISERROR(MATCH(A29,'liste reference'!$B$7:$B$892,0)),"",(MATCH(A29,'liste reference'!$B$7:$B$892,0))),(MATCH(A29,'liste reference'!$A$7:$A$892,0)))</f>
        <v>780</v>
      </c>
      <c r="AA29" s="460" t="s">
        <v>2684</v>
      </c>
      <c r="AB29" s="461"/>
      <c r="AC29" s="461"/>
      <c r="BC29" s="250" t="n">
        <f aca="false">IF(A29="","",1)</f>
        <v>1</v>
      </c>
    </row>
    <row r="30" customFormat="false" ht="12.75" hidden="false" customHeight="false" outlineLevel="0" collapsed="false">
      <c r="A30" s="462" t="s">
        <v>2401</v>
      </c>
      <c r="B30" s="463" t="n">
        <v>0.01</v>
      </c>
      <c r="C30" s="464" t="n">
        <v>0.5</v>
      </c>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0.3481</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0.3481</v>
      </c>
      <c r="R30" s="456" t="n">
        <f aca="false">IF(OR(ISTEXT(H30),Q30=0),"",IF(Q30&lt;0.1,1,IF(Q30&lt;1,2,IF(Q30&lt;10,3,IF(Q30&lt;50,4,IF(Q30&gt;=50,5,""))))))</f>
        <v>2</v>
      </c>
      <c r="S30" s="456" t="n">
        <f aca="false">IF(ISERROR(R30*I30),0,R30*I30)</f>
        <v>20</v>
      </c>
      <c r="T30" s="456" t="n">
        <f aca="false">IF(ISERROR(R30*I30*J30),0,R30*I30*J30)</f>
        <v>20</v>
      </c>
      <c r="U30" s="470" t="n">
        <f aca="false">IF(ISERROR(R30*J30),0,R30*J30)</f>
        <v>2</v>
      </c>
      <c r="V30" s="457" t="n">
        <v>2</v>
      </c>
      <c r="W30" s="458"/>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2419</v>
      </c>
      <c r="B31" s="463" t="n">
        <v>0.005</v>
      </c>
      <c r="C31" s="464"/>
      <c r="D31" s="465" t="str">
        <f aca="false">IF(ISERROR(VLOOKUP($A31,'liste reference'!$A$7:$D$892,2,0)),IF(ISERROR(VLOOKUP($A31,'liste reference'!$B$7:$D$892,1,0)),"",VLOOKUP($A31,'liste reference'!$B$7:$D$892,1,0)),VLOOKUP($A31,'liste reference'!$A$7:$D$892,2,0))</f>
        <v>Stigeoclonium sp.</v>
      </c>
      <c r="E31" s="465" t="e">
        <f aca="false">IF(D31="",0,VLOOKUP(D31,D$22:D30,1,0))</f>
        <v>#N/A</v>
      </c>
      <c r="F31" s="466" t="n">
        <f aca="false">($B31*$B$7+$C31*$C$7)/100</f>
        <v>0.00155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13</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Stigeoclonium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1119</v>
      </c>
      <c r="Q31" s="455" t="n">
        <f aca="false">IF(ISTEXT(H31),"",(B31*$B$7/100)+(C31*$C$7/100))</f>
        <v>0.00155</v>
      </c>
      <c r="R31" s="456" t="n">
        <f aca="false">IF(OR(ISTEXT(H31),Q31=0),"",IF(Q31&lt;0.1,1,IF(Q31&lt;1,2,IF(Q31&lt;10,3,IF(Q31&lt;50,4,IF(Q31&gt;=50,5,""))))))</f>
        <v>1</v>
      </c>
      <c r="S31" s="456" t="n">
        <f aca="false">IF(ISERROR(R31*I31),0,R31*I31)</f>
        <v>13</v>
      </c>
      <c r="T31" s="456" t="n">
        <f aca="false">IF(ISERROR(R31*I31*J31),0,R31*I31*J31)</f>
        <v>26</v>
      </c>
      <c r="U31" s="470" t="n">
        <f aca="false">IF(ISERROR(R31*J31),0,R31*J31)</f>
        <v>2</v>
      </c>
      <c r="V31" s="457" t="n">
        <v>2</v>
      </c>
      <c r="W31" s="458"/>
      <c r="Y31" s="459" t="str">
        <f aca="false">IF(A31="new.cod","NEWCOD",IF(AND((Z31=""),ISTEXT(A31)),A31,IF(Z31="","",INDEX('liste reference'!$A$7:$A$892,Z31))))</f>
        <v>STISPX</v>
      </c>
      <c r="Z31" s="250" t="n">
        <f aca="false">IF(ISERROR(MATCH(A31,'liste reference'!$A$7:$A$892,0)),IF(ISERROR(MATCH(A31,'liste reference'!$B$7:$B$892,0)),"",(MATCH(A31,'liste reference'!$B$7:$B$892,0))),(MATCH(A31,'liste reference'!$A$7:$A$892,0)))</f>
        <v>823</v>
      </c>
      <c r="AA31" s="460"/>
      <c r="AB31" s="461"/>
      <c r="AC31" s="461"/>
      <c r="BC31" s="250" t="n">
        <f aca="false">IF(A31="","",1)</f>
        <v>1</v>
      </c>
    </row>
    <row r="32" customFormat="false" ht="12.75" hidden="false" customHeight="false" outlineLevel="0" collapsed="false">
      <c r="A32" s="462" t="s">
        <v>2432</v>
      </c>
      <c r="B32" s="463" t="n">
        <v>0.005</v>
      </c>
      <c r="C32" s="464"/>
      <c r="D32" s="465" t="str">
        <f aca="false">IF(ISERROR(VLOOKUP($A32,'liste reference'!$A$7:$D$892,2,0)),IF(ISERROR(VLOOKUP($A32,'liste reference'!$B$7:$D$892,1,0)),"",VLOOKUP($A32,'liste reference'!$B$7:$D$892,1,0)),VLOOKUP($A32,'liste reference'!$A$7:$D$892,2,0))</f>
        <v>Tetraspora sp.</v>
      </c>
      <c r="E32" s="465" t="e">
        <f aca="false">IF(D32="",0,VLOOKUP(D32,D$22:D31,1,0))</f>
        <v>#N/A</v>
      </c>
      <c r="F32" s="466" t="n">
        <f aca="false">($B32*$B$7+$C32*$C$7)/100</f>
        <v>0.00155</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Tetraspora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1138</v>
      </c>
      <c r="Q32" s="455" t="n">
        <f aca="false">IF(ISTEXT(H32),"",(B32*$B$7/100)+(C32*$C$7/100))</f>
        <v>0.00155</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TETSPX</v>
      </c>
      <c r="Z32" s="250" t="n">
        <f aca="false">IF(ISERROR(MATCH(A32,'liste reference'!$A$7:$A$892,0)),IF(ISERROR(MATCH(A32,'liste reference'!$B$7:$B$892,0)),"",(MATCH(A32,'liste reference'!$B$7:$B$892,0))),(MATCH(A32,'liste reference'!$A$7:$A$892,0)))</f>
        <v>828</v>
      </c>
      <c r="AA32" s="460"/>
      <c r="AB32" s="461"/>
      <c r="AC32" s="461"/>
      <c r="BC32" s="250" t="n">
        <f aca="false">IF(A32="","",1)</f>
        <v>1</v>
      </c>
    </row>
    <row r="33" customFormat="false" ht="12.75" hidden="false" customHeight="false" outlineLevel="0" collapsed="false">
      <c r="A33" s="462" t="s">
        <v>569</v>
      </c>
      <c r="B33" s="463" t="n">
        <v>0.005</v>
      </c>
      <c r="C33" s="464"/>
      <c r="D33" s="465" t="str">
        <f aca="false">IF(ISERROR(VLOOKUP($A33,'liste reference'!$A$7:$D$892,2,0)),IF(ISERROR(VLOOKUP($A33,'liste reference'!$B$7:$D$892,1,0)),"",VLOOKUP($A33,'liste reference'!$B$7:$D$892,1,0)),VLOOKUP($A33,'liste reference'!$A$7:$D$892,2,0))</f>
        <v>Cinclidotus danubicus</v>
      </c>
      <c r="E33" s="465" t="e">
        <f aca="false">IF(D33="",0,VLOOKUP(D33,D$22:D32,1,0))</f>
        <v>#N/A</v>
      </c>
      <c r="F33" s="466" t="n">
        <f aca="false">($B33*$B$7+$C33*$C$7)/100</f>
        <v>0.00155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13</v>
      </c>
      <c r="J33" s="451" t="n">
        <f aca="false">IF(ISNUMBER(H33),IF(ISERROR(VLOOKUP($A33,'liste reference'!$A$7:$P$892,4,0)),IF(ISERROR(VLOOKUP($A33,'liste reference'!$B$7:$P$892,3,0)),"",VLOOKUP($A33,'liste reference'!$B$7:$P$892,3,0)),VLOOKUP($A33,'liste reference'!$A$7:$P$892,4,0)),"")</f>
        <v>3</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Cinclidotus danubicus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1319</v>
      </c>
      <c r="Q33" s="455" t="n">
        <f aca="false">IF(ISTEXT(H33),"",(B33*$B$7/100)+(C33*$C$7/100))</f>
        <v>0.00155</v>
      </c>
      <c r="R33" s="456" t="n">
        <f aca="false">IF(OR(ISTEXT(H33),Q33=0),"",IF(Q33&lt;0.1,1,IF(Q33&lt;1,2,IF(Q33&lt;10,3,IF(Q33&lt;50,4,IF(Q33&gt;=50,5,""))))))</f>
        <v>1</v>
      </c>
      <c r="S33" s="456" t="n">
        <f aca="false">IF(ISERROR(R33*I33),0,R33*I33)</f>
        <v>13</v>
      </c>
      <c r="T33" s="456" t="n">
        <f aca="false">IF(ISERROR(R33*I33*J33),0,R33*I33*J33)</f>
        <v>39</v>
      </c>
      <c r="U33" s="470" t="n">
        <f aca="false">IF(ISERROR(R33*J33),0,R33*J33)</f>
        <v>3</v>
      </c>
      <c r="V33" s="457" t="n">
        <v>3</v>
      </c>
      <c r="W33" s="458"/>
      <c r="Y33" s="459" t="str">
        <f aca="false">IF(A33="new.cod","NEWCOD",IF(AND((Z33=""),ISTEXT(A33)),A33,IF(Z33="","",INDEX('liste reference'!$A$7:$A$892,Z33))))</f>
        <v>CINDAN</v>
      </c>
      <c r="Z33" s="250" t="n">
        <f aca="false">IF(ISERROR(MATCH(A33,'liste reference'!$A$7:$A$892,0)),IF(ISERROR(MATCH(A33,'liste reference'!$B$7:$B$892,0)),"",(MATCH(A33,'liste reference'!$B$7:$B$892,0))),(MATCH(A33,'liste reference'!$A$7:$A$892,0)))</f>
        <v>174</v>
      </c>
      <c r="AA33" s="460"/>
      <c r="AB33" s="461"/>
      <c r="AC33" s="461"/>
      <c r="BC33" s="250" t="n">
        <f aca="false">IF(A33="","",1)</f>
        <v>1</v>
      </c>
    </row>
    <row r="34" customFormat="false" ht="12.75" hidden="false" customHeight="false" outlineLevel="0" collapsed="false">
      <c r="A34" s="462" t="s">
        <v>580</v>
      </c>
      <c r="B34" s="463" t="n">
        <v>0.005</v>
      </c>
      <c r="C34" s="464"/>
      <c r="D34" s="465" t="str">
        <f aca="false">IF(ISERROR(VLOOKUP($A34,'liste reference'!$A$7:$D$892,2,0)),IF(ISERROR(VLOOKUP($A34,'liste reference'!$B$7:$D$892,1,0)),"",VLOOKUP($A34,'liste reference'!$B$7:$D$892,1,0)),VLOOKUP($A34,'liste reference'!$A$7:$D$892,2,0))</f>
        <v>Cinclidotus riparius</v>
      </c>
      <c r="E34" s="465" t="e">
        <f aca="false">IF(D34="",0,VLOOKUP(D34,D$22:D33,1,0))</f>
        <v>#N/A</v>
      </c>
      <c r="F34" s="472" t="n">
        <f aca="false">($B34*$B$7+$C34*$C$7)/100</f>
        <v>0.00155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13</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Cinclidotus riparius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1321</v>
      </c>
      <c r="Q34" s="455" t="n">
        <f aca="false">IF(ISTEXT(H34),"",(B34*$B$7/100)+(C34*$C$7/100))</f>
        <v>0.00155</v>
      </c>
      <c r="R34" s="456" t="n">
        <f aca="false">IF(OR(ISTEXT(H34),Q34=0),"",IF(Q34&lt;0.1,1,IF(Q34&lt;1,2,IF(Q34&lt;10,3,IF(Q34&lt;50,4,IF(Q34&gt;=50,5,""))))))</f>
        <v>1</v>
      </c>
      <c r="S34" s="456" t="n">
        <f aca="false">IF(ISERROR(R34*I34),0,R34*I34)</f>
        <v>13</v>
      </c>
      <c r="T34" s="456" t="n">
        <f aca="false">IF(ISERROR(R34*I34*J34),0,R34*I34*J34)</f>
        <v>26</v>
      </c>
      <c r="U34" s="470" t="n">
        <f aca="false">IF(ISERROR(R34*J34),0,R34*J34)</f>
        <v>2</v>
      </c>
      <c r="V34" s="457" t="n">
        <v>2</v>
      </c>
      <c r="W34" s="458"/>
      <c r="Y34" s="459" t="str">
        <f aca="false">IF(A34="new.cod","NEWCOD",IF(AND((Z34=""),ISTEXT(A34)),A34,IF(Z34="","",INDEX('liste reference'!$A$7:$A$892,Z34))))</f>
        <v>CINRIP</v>
      </c>
      <c r="Z34" s="250" t="n">
        <f aca="false">IF(ISERROR(MATCH(A34,'liste reference'!$A$7:$A$892,0)),IF(ISERROR(MATCH(A34,'liste reference'!$B$7:$B$892,0)),"",(MATCH(A34,'liste reference'!$B$7:$B$892,0))),(MATCH(A34,'liste reference'!$A$7:$A$892,0)))</f>
        <v>177</v>
      </c>
      <c r="AA34" s="460"/>
      <c r="AB34" s="461"/>
      <c r="AC34" s="461"/>
      <c r="BC34" s="250" t="n">
        <f aca="false">IF(A34="","",1)</f>
        <v>1</v>
      </c>
    </row>
    <row r="35" customFormat="false" ht="12.75" hidden="false" customHeight="false" outlineLevel="0" collapsed="false">
      <c r="A35" s="462" t="s">
        <v>839</v>
      </c>
      <c r="B35" s="463" t="n">
        <v>0.01</v>
      </c>
      <c r="C35" s="464" t="n">
        <v>0.005</v>
      </c>
      <c r="D35" s="465" t="str">
        <f aca="false">IF(ISERROR(VLOOKUP($A35,'liste reference'!$A$7:$D$892,2,0)),IF(ISERROR(VLOOKUP($A35,'liste reference'!$B$7:$D$892,1,0)),"",VLOOKUP($A35,'liste reference'!$B$7:$D$892,1,0)),VLOOKUP($A35,'liste reference'!$A$7:$D$892,2,0))</f>
        <v>Equisetum arvense</v>
      </c>
      <c r="E35" s="465" t="e">
        <f aca="false">IF(D35="",0,VLOOKUP(D35,D$22:D34,1,0))</f>
        <v>#N/A</v>
      </c>
      <c r="F35" s="472" t="n">
        <f aca="false">($B35*$B$7+$C35*$C$7)/100</f>
        <v>0.00655</v>
      </c>
      <c r="G35" s="467" t="str">
        <f aca="false">IF(A35="","",IF(ISERROR(VLOOKUP($A35,'liste reference'!$A$7:$P$892,13,0)),IF(ISERROR(VLOOKUP($A35,'liste reference'!$B$7:$P$892,12,0)),"    -",VLOOKUP($A35,'liste reference'!$B$7:$P$892,12,0)),VLOOKUP($A35,'liste reference'!$A$7:$P$892,13,0)))</f>
        <v>PTE</v>
      </c>
      <c r="H35" s="449" t="n">
        <f aca="false">IF(A35="","x",IF(ISERROR(VLOOKUP($A35,'liste reference'!$A$7:$P$892,14,0)),IF(ISERROR(VLOOKUP($A35,'liste reference'!$B$7:$P$892,13,0)),"x",VLOOKUP($A35,'liste reference'!$B$7:$P$892,13,0)),VLOOKUP($A35,'liste reference'!$A$7:$P$892,14,0)))</f>
        <v>6</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Equisetum arvense</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1384</v>
      </c>
      <c r="Q35" s="455" t="n">
        <f aca="false">IF(ISTEXT(H35),"",(B35*$B$7/100)+(C35*$C$7/100))</f>
        <v>0.00655</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EQUARV</v>
      </c>
      <c r="Z35" s="250" t="n">
        <f aca="false">IF(ISERROR(MATCH(A35,'liste reference'!$A$7:$A$892,0)),IF(ISERROR(MATCH(A35,'liste reference'!$B$7:$B$892,0)),"",(MATCH(A35,'liste reference'!$B$7:$B$892,0))),(MATCH(A35,'liste reference'!$A$7:$A$892,0)))</f>
        <v>266</v>
      </c>
      <c r="AA35" s="460"/>
      <c r="AB35" s="461"/>
      <c r="AC35" s="461"/>
      <c r="BC35" s="250" t="n">
        <f aca="false">IF(A35="","",1)</f>
        <v>1</v>
      </c>
    </row>
    <row r="36" customFormat="false" ht="12.75" hidden="false" customHeight="false" outlineLevel="0" collapsed="false">
      <c r="A36" s="462" t="s">
        <v>72</v>
      </c>
      <c r="B36" s="463" t="n">
        <v>0.01</v>
      </c>
      <c r="C36" s="464" t="n">
        <v>0.005</v>
      </c>
      <c r="D36" s="465" t="str">
        <f aca="false">IF(ISERROR(VLOOKUP($A36,'liste reference'!$A$7:$D$892,2,0)),IF(ISERROR(VLOOKUP($A36,'liste reference'!$B$7:$D$892,1,0)),"",VLOOKUP($A36,'liste reference'!$B$7:$D$892,1,0)),VLOOKUP($A36,'liste reference'!$A$7:$D$892,2,0))</f>
        <v>Agrostis stolonifera</v>
      </c>
      <c r="E36" s="465" t="e">
        <f aca="false">IF(D36="",0,VLOOKUP(D36,D$22:D35,1,0))</f>
        <v>#N/A</v>
      </c>
      <c r="F36" s="472" t="n">
        <f aca="false">($B36*$B$7+$C36*$C$7)/100</f>
        <v>0.00655</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10</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Agrostis stolonifera</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1543</v>
      </c>
      <c r="Q36" s="455" t="n">
        <f aca="false">IF(ISTEXT(H36),"",(B36*$B$7/100)+(C36*$C$7/100))</f>
        <v>0.00655</v>
      </c>
      <c r="R36" s="456" t="n">
        <f aca="false">IF(OR(ISTEXT(H36),Q36=0),"",IF(Q36&lt;0.1,1,IF(Q36&lt;1,2,IF(Q36&lt;10,3,IF(Q36&lt;50,4,IF(Q36&gt;=50,5,""))))))</f>
        <v>1</v>
      </c>
      <c r="S36" s="456" t="n">
        <f aca="false">IF(ISERROR(R36*I36),0,R36*I36)</f>
        <v>10</v>
      </c>
      <c r="T36" s="456" t="n">
        <f aca="false">IF(ISERROR(R36*I36*J36),0,R36*I36*J36)</f>
        <v>10</v>
      </c>
      <c r="U36" s="470" t="n">
        <f aca="false">IF(ISERROR(R36*J36),0,R36*J36)</f>
        <v>1</v>
      </c>
      <c r="V36" s="457" t="n">
        <v>1</v>
      </c>
      <c r="W36" s="458"/>
      <c r="Y36" s="459" t="str">
        <f aca="false">IF(A36="new.cod","NEWCOD",IF(AND((Z36=""),ISTEXT(A36)),A36,IF(Z36="","",INDEX('liste reference'!$A$7:$A$892,Z36))))</f>
        <v>AGRSTO</v>
      </c>
      <c r="Z36" s="250" t="n">
        <f aca="false">IF(ISERROR(MATCH(A36,'liste reference'!$A$7:$A$892,0)),IF(ISERROR(MATCH(A36,'liste reference'!$B$7:$B$892,0)),"",(MATCH(A36,'liste reference'!$B$7:$B$892,0))),(MATCH(A36,'liste reference'!$A$7:$A$892,0)))</f>
        <v>8</v>
      </c>
      <c r="AA36" s="460"/>
      <c r="AB36" s="461"/>
      <c r="AC36" s="461"/>
      <c r="BC36" s="250" t="n">
        <f aca="false">IF(A36="","",1)</f>
        <v>1</v>
      </c>
    </row>
    <row r="37" customFormat="false" ht="12.75" hidden="false" customHeight="false" outlineLevel="0" collapsed="false">
      <c r="A37" s="462" t="s">
        <v>1350</v>
      </c>
      <c r="B37" s="463" t="n">
        <v>0.005</v>
      </c>
      <c r="C37" s="464"/>
      <c r="D37" s="465" t="str">
        <f aca="false">IF(ISERROR(VLOOKUP($A37,'liste reference'!$A$7:$D$892,2,0)),IF(ISERROR(VLOOKUP($A37,'liste reference'!$B$7:$D$892,1,0)),"",VLOOKUP($A37,'liste reference'!$B$7:$D$892,1,0)),VLOOKUP($A37,'liste reference'!$A$7:$D$892,2,0))</f>
        <v>Lysimachia vulgaris</v>
      </c>
      <c r="E37" s="465" t="e">
        <f aca="false">IF(D37="",0,VLOOKUP(D37,D$22:D36,1,0))</f>
        <v>#N/A</v>
      </c>
      <c r="F37" s="472" t="n">
        <f aca="false">($B37*$B$7+$C37*$C$7)/100</f>
        <v>0.00155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Lysimachia vulgaris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1887</v>
      </c>
      <c r="Q37" s="455" t="n">
        <f aca="false">IF(ISTEXT(H37),"",(B37*$B$7/100)+(C37*$C$7/100))</f>
        <v>0.00155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LYSVUL</v>
      </c>
      <c r="Z37" s="250" t="n">
        <f aca="false">IF(ISERROR(MATCH(A37,'liste reference'!$A$7:$A$892,0)),IF(ISERROR(MATCH(A37,'liste reference'!$B$7:$B$892,0)),"",(MATCH(A37,'liste reference'!$B$7:$B$892,0))),(MATCH(A37,'liste reference'!$A$7:$A$892,0)))</f>
        <v>440</v>
      </c>
      <c r="AA37" s="460"/>
      <c r="AB37" s="461"/>
      <c r="AC37" s="461"/>
      <c r="BC37" s="250" t="n">
        <f aca="false">IF(A37="","",1)</f>
        <v>1</v>
      </c>
    </row>
    <row r="38" customFormat="false" ht="12.75" hidden="false" customHeight="false" outlineLevel="0" collapsed="false">
      <c r="A38" s="462" t="s">
        <v>2063</v>
      </c>
      <c r="B38" s="463"/>
      <c r="C38" s="464" t="n">
        <v>0.005</v>
      </c>
      <c r="D38" s="465" t="str">
        <f aca="false">IF(ISERROR(VLOOKUP($A38,'liste reference'!$A$7:$D$892,2,0)),IF(ISERROR(VLOOKUP($A38,'liste reference'!$B$7:$D$892,1,0)),"",VLOOKUP($A38,'liste reference'!$B$7:$D$892,1,0)),VLOOKUP($A38,'liste reference'!$A$7:$D$892,2,0))</f>
        <v>Reynoutria japonica</v>
      </c>
      <c r="E38" s="465" t="e">
        <f aca="false">IF(D38="",0,VLOOKUP(D38,D$22:D37,1,0))</f>
        <v>#N/A</v>
      </c>
      <c r="F38" s="472" t="n">
        <f aca="false">($B38*$B$7+$C38*$C$7)/100</f>
        <v>0.00345</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Reynoutria japonica</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19988</v>
      </c>
      <c r="Q38" s="455" t="n">
        <f aca="false">IF(ISTEXT(H38),"",(B38*$B$7/100)+(C38*$C$7/100))</f>
        <v>0.00345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REYJAP</v>
      </c>
      <c r="Z38" s="250" t="n">
        <f aca="false">IF(ISERROR(MATCH(A38,'liste reference'!$A$7:$A$892,0)),IF(ISERROR(MATCH(A38,'liste reference'!$B$7:$B$892,0)),"",(MATCH(A38,'liste reference'!$B$7:$B$892,0))),(MATCH(A38,'liste reference'!$A$7:$A$892,0)))</f>
        <v>701</v>
      </c>
      <c r="AA38" s="460"/>
      <c r="AB38" s="461"/>
      <c r="AC38" s="461"/>
      <c r="BC38" s="250" t="n">
        <f aca="false">IF(A38="","",1)</f>
        <v>1</v>
      </c>
    </row>
    <row r="39" customFormat="false" ht="12.75" hidden="false" customHeight="false" outlineLevel="0" collapsed="false">
      <c r="A39" s="462" t="s">
        <v>653</v>
      </c>
      <c r="B39" s="463"/>
      <c r="C39" s="464" t="n">
        <v>0.005</v>
      </c>
      <c r="D39" s="465" t="str">
        <f aca="false">IF(ISERROR(VLOOKUP($A39,'liste reference'!$A$7:$D$892,2,0)),IF(ISERROR(VLOOKUP($A39,'liste reference'!$B$7:$D$892,1,0)),"",VLOOKUP($A39,'liste reference'!$B$7:$D$892,1,0)),VLOOKUP($A39,'liste reference'!$A$7:$D$892,2,0))</f>
        <v>Cyperus longus</v>
      </c>
      <c r="E39" s="465" t="e">
        <f aca="false">IF(D39="",0,VLOOKUP(D39,D$22:D38,1,0))</f>
        <v>#N/A</v>
      </c>
      <c r="F39" s="472" t="n">
        <f aca="false">($B39*$B$7+$C39*$C$7)/100</f>
        <v>0.00345</v>
      </c>
      <c r="G39" s="467" t="str">
        <f aca="false">IF(A39="","",IF(ISERROR(VLOOKUP($A39,'liste reference'!$A$7:$P$892,13,0)),IF(ISERROR(VLOOKUP($A39,'liste reference'!$B$7:$P$892,12,0)),"    -",VLOOKUP($A39,'liste reference'!$B$7:$P$892,12,0)),VLOOKUP($A39,'liste reference'!$A$7:$P$892,13,0)))</f>
        <v>PHg</v>
      </c>
      <c r="H39" s="449" t="n">
        <f aca="false">IF(A39="","x",IF(ISERROR(VLOOKUP($A39,'liste reference'!$A$7:$P$892,14,0)),IF(ISERROR(VLOOKUP($A39,'liste reference'!$B$7:$P$892,13,0)),"x",VLOOKUP($A39,'liste reference'!$B$7:$P$892,13,0)),VLOOKUP($A39,'liste reference'!$A$7:$P$892,14,0)))</f>
        <v>9</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Cyperus longus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v>
      </c>
      <c r="Q39" s="455" t="n">
        <f aca="false">IF(ISTEXT(H39),"",(B39*$B$7/100)+(C39*$C$7/100))</f>
        <v>0.00345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CYPLON</v>
      </c>
      <c r="Z39" s="250" t="n">
        <f aca="false">IF(ISERROR(MATCH(A39,'liste reference'!$A$7:$A$892,0)),IF(ISERROR(MATCH(A39,'liste reference'!$B$7:$B$892,0)),"",(MATCH(A39,'liste reference'!$B$7:$B$892,0))),(MATCH(A39,'liste reference'!$A$7:$A$892,0)))</f>
        <v>201</v>
      </c>
      <c r="AA39" s="460"/>
      <c r="AB39" s="461"/>
      <c r="AC39" s="461"/>
      <c r="BC39" s="250" t="n">
        <f aca="false">IF(A39="","",1)</f>
        <v>1</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0.00155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Rorippa sylvestris</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Arre</v>
      </c>
      <c r="B84" s="493" t="str">
        <f aca="false">C3</f>
        <v>Saint André de Majencoules</v>
      </c>
      <c r="C84" s="494" t="n">
        <f aca="false">A4</f>
        <v>41138</v>
      </c>
      <c r="D84" s="495" t="n">
        <f aca="false">IF(ISERROR(SUM($T$23:$T$82)/SUM($U$23:$U$82)),"",SUM($T$23:$T$82)/SUM($U$23:$U$82))</f>
        <v>11.2962962962963</v>
      </c>
      <c r="E84" s="496" t="n">
        <f aca="false">N13</f>
        <v>18</v>
      </c>
      <c r="F84" s="493" t="n">
        <f aca="false">N14</f>
        <v>17</v>
      </c>
      <c r="G84" s="493" t="n">
        <f aca="false">N15</f>
        <v>5</v>
      </c>
      <c r="H84" s="493" t="n">
        <f aca="false">N16</f>
        <v>6</v>
      </c>
      <c r="I84" s="493" t="n">
        <f aca="false">N17</f>
        <v>1</v>
      </c>
      <c r="J84" s="497" t="n">
        <f aca="false">N8</f>
        <v>7.94117647058824</v>
      </c>
      <c r="K84" s="495" t="n">
        <f aca="false">N9</f>
        <v>5.83599379107036</v>
      </c>
      <c r="L84" s="496" t="n">
        <f aca="false">N10</f>
        <v>0</v>
      </c>
      <c r="M84" s="496" t="n">
        <f aca="false">N11</f>
        <v>15</v>
      </c>
      <c r="N84" s="495" t="n">
        <f aca="false">O8</f>
        <v>1.17647058823529</v>
      </c>
      <c r="O84" s="495" t="n">
        <f aca="false">O9</f>
        <v>0.951005659660279</v>
      </c>
      <c r="P84" s="496" t="n">
        <f aca="false">O10</f>
        <v>0</v>
      </c>
      <c r="Q84" s="496" t="n">
        <f aca="false">O11</f>
        <v>3</v>
      </c>
      <c r="R84" s="496" t="n">
        <f aca="false">F21</f>
        <v>13.986</v>
      </c>
      <c r="S84" s="496" t="n">
        <f aca="false">K11</f>
        <v>0</v>
      </c>
      <c r="T84" s="496" t="n">
        <f aca="false">K12</f>
        <v>10</v>
      </c>
      <c r="U84" s="496" t="n">
        <f aca="false">K13</f>
        <v>2</v>
      </c>
      <c r="V84" s="498" t="n">
        <f aca="false">K14</f>
        <v>1</v>
      </c>
      <c r="W84" s="499" t="n">
        <f aca="false">K15</f>
        <v>4</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36</v>
      </c>
      <c r="T87" s="250"/>
      <c r="U87" s="250"/>
      <c r="V87" s="250"/>
    </row>
    <row r="88" customFormat="false" ht="12.75" hidden="true" customHeight="false" outlineLevel="0" collapsed="false">
      <c r="P88" s="250"/>
      <c r="Q88" s="250" t="s">
        <v>2690</v>
      </c>
      <c r="R88" s="250"/>
      <c r="S88" s="457" t="n">
        <f aca="false">VLOOKUP((S87),($S$23:$U$82),2,0)</f>
        <v>72</v>
      </c>
      <c r="T88" s="250"/>
      <c r="U88" s="250"/>
      <c r="V88" s="250"/>
    </row>
    <row r="89" customFormat="false" ht="12.75" hidden="false" customHeight="false" outlineLevel="0" collapsed="false">
      <c r="Q89" s="250" t="s">
        <v>2691</v>
      </c>
      <c r="R89" s="250"/>
      <c r="S89" s="457" t="n">
        <f aca="false">VLOOKUP((S87),($S$23:$U$82),3,0)</f>
        <v>6</v>
      </c>
      <c r="T89" s="250"/>
    </row>
    <row r="90" customFormat="false" ht="12.75" hidden="false" customHeight="false" outlineLevel="0" collapsed="false">
      <c r="Q90" s="250" t="s">
        <v>2692</v>
      </c>
      <c r="R90" s="250"/>
      <c r="S90" s="502" t="n">
        <f aca="false">IF(ISERROR(SUM($T$23:$T$82)/SUM($U$23:$U$82)),"",(SUM($T$23:$T$82)-S88)/(SUM($U$23:$U$82)-S89))</f>
        <v>11.0952380952381</v>
      </c>
      <c r="T90" s="250"/>
    </row>
    <row r="91" customFormat="false" ht="12.75" hidden="false" customHeight="false" outlineLevel="0" collapsed="false">
      <c r="Q91" s="456" t="s">
        <v>2693</v>
      </c>
      <c r="R91" s="456"/>
      <c r="S91" s="456" t="str">
        <f aca="false">INDEX('liste reference'!$A$7:$A$892,$T$91)</f>
        <v>DIASPX</v>
      </c>
      <c r="T91" s="250" t="n">
        <f aca="false">IF(ISERROR(MATCH($S$93,'liste reference'!$A$7:$A$892,0)),MATCH($S$93,'liste reference'!$B$7:$B$892,0),(MATCH($S$93,'liste reference'!$A$7:$A$892,0)))</f>
        <v>210</v>
      </c>
      <c r="U91" s="491"/>
    </row>
    <row r="92" customFormat="false" ht="12.75" hidden="false" customHeight="false" outlineLevel="0" collapsed="false">
      <c r="Q92" s="250" t="s">
        <v>2694</v>
      </c>
      <c r="R92" s="250"/>
      <c r="S92" s="250" t="n">
        <f aca="false">MATCH(S87,$S$23:$S$82,0)</f>
        <v>2</v>
      </c>
      <c r="T92" s="250"/>
    </row>
    <row r="93" customFormat="false" ht="12.75" hidden="false" customHeight="false" outlineLevel="0" collapsed="false">
      <c r="Q93" s="456" t="s">
        <v>2695</v>
      </c>
      <c r="R93" s="250"/>
      <c r="S93" s="456" t="str">
        <f aca="false">INDEX($A$23:$A$82,$S$92)</f>
        <v>DIASPX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2684</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REPELLINI Franck</cp:lastModifiedBy>
  <cp:lastPrinted>2006-07-12T18:54:47Z</cp:lastPrinted>
  <dcterms:modified xsi:type="dcterms:W3CDTF">2013-10-16T10:42:52Z</dcterms:modified>
  <cp:revision>0</cp:revision>
  <dc:subject/>
  <dc:title>Feuille d'aide au calcul de l'IBMR</dc:title>
</cp:coreProperties>
</file>