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 à Villeneuv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 à Villeneuve'!$A$1:$O$82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 à Villeneuve'!$A$23:$J$84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<sst xmlns="http://schemas.openxmlformats.org/spreadsheetml/2006/main" count="7372" uniqueCount="2732">
  <si>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</si>
  <si>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</si>
  <si>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</si>
  <si>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</si>
  <si>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</si>
  <si>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</si>
  <si>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</si>
  <si>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</si>
  <si>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</si>
  <si>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</si>
  <si>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</si>
  <si>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</si>
  <si>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</si>
  <si>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</si>
  <si>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</si>
  <si>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</si>
  <si>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</si>
  <si>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</si>
  <si>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</si>
  <si>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</si>
  <si>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</si>
  <si>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</si>
  <si>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</si>
  <si>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</si>
  <si>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</si>
  <si>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</si>
  <si>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</si>
  <si>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</si>
  <si>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</si>
  <si>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</si>
  <si>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</si>
  <si>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</si>
  <si>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</si>
  <si>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</si>
  <si>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</si>
  <si>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</si>
  <si>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</si>
  <si>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</si>
  <si>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</si>
  <si>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</si>
  <si>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</si>
  <si>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</si>
  <si>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</si>
  <si>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</si>
  <si>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</si>
  <si>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</si>
  <si>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</si>
  <si>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</si>
  <si>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</si>
  <si>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</si>
  <si>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</si>
  <si>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</si>
  <si>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</si>
  <si>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</si>
  <si>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</si>
  <si>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</si>
  <si>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</si>
  <si>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</si>
  <si>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</si>
  <si>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</si>
  <si>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</si>
  <si>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</si>
  <si>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</si>
  <si>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</si>
  <si>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</si>
  <si>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</si>
  <si>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</si>
  <si>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</si>
  <si>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</si>
  <si>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</si>
  <si>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</si>
  <si>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</si>
  <si>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</si>
  <si>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</si>
  <si>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</si>
  <si>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</si>
  <si>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</si>
  <si>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</si>
  <si>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</si>
  <si>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</si>
  <si>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</si>
  <si>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</si>
  <si>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</si>
  <si>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</si>
  <si>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</si>
  <si>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</si>
  <si>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</si>
  <si>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</si>
  <si>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</si>
  <si>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</si>
  <si>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</si>
  <si>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</si>
  <si>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</si>
  <si>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</si>
  <si>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</si>
  <si>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</si>
  <si>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</si>
  <si>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</si>
  <si>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</si>
  <si>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</si>
  <si>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</si>
  <si>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</si>
  <si>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</si>
  <si>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</si>
  <si>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</si>
  <si>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</si>
  <si>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</si>
  <si>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</si>
  <si>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</si>
  <si>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</si>
  <si>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</si>
  <si>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</si>
  <si>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</si>
  <si>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</si>
  <si>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</si>
  <si>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</si>
  <si>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</si>
  <si>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</si>
  <si>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</si>
  <si>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</si>
  <si>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</si>
  <si>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</si>
  <si>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</si>
  <si>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</si>
  <si>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</si>
  <si>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</si>
  <si>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</si>
  <si>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</si>
  <si>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</si>
  <si>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</si>
  <si>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</si>
  <si>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</si>
  <si>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</si>
  <si>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</si>
  <si>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</si>
  <si>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</si>
  <si>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</si>
  <si>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</si>
  <si>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</si>
  <si>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</si>
  <si>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</si>
  <si>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</si>
  <si>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</si>
  <si>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</si>
  <si>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</si>
  <si>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</si>
  <si>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</si>
  <si>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</si>
  <si>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</si>
  <si>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</si>
  <si>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</si>
  <si>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</si>
  <si>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</si>
  <si>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</si>
  <si>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</si>
  <si>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</si>
  <si>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</si>
  <si>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</si>
  <si>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</si>
  <si>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</si>
  <si>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</si>
  <si>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</si>
  <si>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</si>
  <si>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</si>
  <si>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</si>
  <si>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</si>
  <si>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</si>
  <si>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</si>
  <si>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</si>
  <si>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</si>
  <si>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</si>
  <si>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</si>
  <si>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</si>
  <si>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</si>
  <si>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</si>
  <si>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</si>
  <si>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</si>
  <si>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</si>
  <si>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</si>
  <si>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</si>
  <si>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</si>
  <si>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</si>
  <si>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</si>
  <si>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</si>
  <si>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</si>
  <si>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</si>
  <si>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</si>
  <si>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</si>
  <si>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</si>
  <si>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</si>
  <si>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</si>
  <si>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</si>
  <si>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</si>
  <si>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</si>
  <si>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</si>
  <si>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</si>
  <si>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</si>
  <si>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</si>
  <si>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</si>
  <si>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</si>
  <si>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</si>
  <si>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</si>
  <si>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</si>
  <si>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</si>
  <si>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</si>
  <si>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</si>
  <si>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</si>
  <si>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</si>
  <si>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</si>
  <si>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</si>
  <si>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</si>
  <si>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</si>
  <si>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</si>
  <si>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</si>
  <si>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</si>
  <si>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</si>
  <si>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</si>
  <si>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</si>
  <si>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</si>
  <si>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</si>
  <si>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</si>
  <si>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</si>
  <si>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</si>
  <si>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</si>
  <si>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</si>
  <si>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</si>
  <si>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</si>
  <si>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</si>
  <si>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</si>
  <si>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</si>
  <si>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</si>
  <si>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</si>
  <si>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</si>
  <si>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</si>
  <si>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</si>
  <si>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</si>
  <si>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</si>
  <si>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</si>
  <si>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</si>
  <si>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</si>
  <si>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</si>
  <si>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</si>
  <si>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</si>
  <si>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</si>
  <si>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</si>
  <si>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</si>
  <si>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</si>
  <si>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</si>
  <si>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</si>
  <si>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</si>
  <si>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</si>
  <si>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</si>
  <si>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</si>
  <si>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</si>
  <si>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</si>
  <si>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</si>
  <si>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</si>
  <si>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</si>
  <si>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</si>
  <si>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</si>
  <si>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</si>
  <si>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</si>
  <si>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</si>
  <si>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</si>
  <si>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</si>
  <si>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</si>
  <si>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</si>
  <si>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</si>
  <si>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</si>
  <si>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</si>
  <si>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</si>
  <si>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</si>
  <si>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</si>
  <si>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</si>
  <si>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</si>
  <si>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</si>
  <si>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</si>
  <si>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</si>
  <si>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</si>
  <si>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</si>
  <si>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</si>
  <si>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</si>
  <si>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</si>
  <si>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</si>
  <si>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</si>
  <si>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</si>
  <si>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</si>
  <si>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</si>
  <si>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</si>
  <si>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</si>
  <si>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</si>
  <si>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</si>
  <si>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</si>
  <si>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</si>
  <si>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</si>
  <si>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</si>
  <si>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</si>
  <si>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</si>
  <si>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</si>
  <si>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</si>
  <si>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</si>
  <si>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</si>
  <si>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</si>
  <si>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</si>
  <si>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</si>
  <si>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</si>
  <si>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</si>
  <si>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</si>
  <si>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</si>
  <si>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</si>
  <si>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</si>
  <si>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</si>
  <si>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</si>
  <si>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</si>
  <si>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</si>
  <si>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</si>
  <si>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</si>
  <si>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</si>
  <si>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</si>
  <si>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</si>
  <si>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</si>
  <si>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</si>
  <si>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</si>
  <si>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</si>
  <si>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</si>
  <si>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</si>
  <si>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</si>
  <si>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</si>
  <si>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</si>
  <si>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</si>
  <si>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</si>
  <si>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</si>
  <si>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</si>
  <si>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</si>
  <si>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</si>
  <si>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</si>
  <si>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</si>
  <si>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</si>
  <si>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</si>
  <si>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</si>
  <si>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</si>
  <si>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</si>
  <si>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</si>
  <si>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</si>
  <si>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</si>
  <si>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</si>
  <si>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</si>
  <si>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</si>
  <si>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</si>
  <si>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</si>
  <si>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</si>
  <si>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</si>
  <si>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</si>
  <si>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</si>
  <si>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</si>
  <si>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</si>
  <si>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</si>
  <si>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</si>
  <si>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</si>
  <si>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</si>
  <si>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</si>
  <si>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</si>
  <si>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</si>
  <si>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</si>
  <si>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</si>
  <si>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</si>
  <si>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</si>
  <si>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</si>
  <si>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</si>
  <si>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</si>
  <si>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</si>
  <si>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</si>
  <si>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</si>
  <si>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</si>
  <si>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</si>
  <si>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</si>
  <si>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</si>
  <si>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</si>
  <si>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</si>
  <si>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</si>
  <si>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</si>
  <si>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</si>
  <si>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</si>
  <si>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</si>
  <si>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</si>
  <si>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</si>
  <si>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</si>
  <si>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</si>
  <si>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</si>
  <si>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</si>
  <si>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</si>
  <si>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</si>
  <si>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</si>
  <si>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</si>
  <si>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</si>
  <si>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</si>
  <si>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</si>
  <si>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</si>
  <si>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</si>
  <si>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</si>
  <si>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</si>
  <si>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</si>
  <si>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</si>
  <si>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</si>
  <si>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</si>
  <si>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</si>
  <si>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</si>
  <si>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</si>
  <si>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</si>
  <si>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</si>
  <si>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</si>
  <si>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</si>
  <si>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</si>
  <si>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</si>
  <si>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</si>
  <si>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</si>
  <si>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</si>
  <si>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</si>
  <si>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</si>
  <si>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</si>
  <si>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</si>
  <si>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</si>
  <si>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</si>
  <si>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</si>
  <si>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</si>
  <si>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</si>
  <si>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</si>
  <si>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</si>
  <si>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</si>
  <si>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</si>
  <si>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</si>
  <si>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</si>
  <si>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</si>
  <si>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</si>
  <si>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</si>
  <si>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</si>
  <si>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</si>
  <si>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</si>
  <si>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</si>
  <si>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</si>
  <si>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</si>
  <si>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</si>
  <si>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</si>
  <si>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</si>
  <si>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</si>
  <si>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</si>
  <si>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</si>
  <si>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</si>
  <si>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</si>
  <si>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</si>
  <si>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</si>
  <si>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</si>
  <si>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</si>
  <si>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</si>
  <si>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</si>
  <si>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</si>
  <si>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</si>
  <si>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</si>
  <si>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</si>
  <si>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</si>
  <si>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</si>
  <si>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</si>
  <si>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</si>
  <si>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</si>
  <si>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</si>
  <si>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</si>
  <si>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</si>
  <si>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</si>
  <si>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</si>
  <si>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</si>
  <si>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</si>
  <si>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</si>
  <si>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</si>
  <si>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</si>
  <si>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</si>
  <si>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</si>
  <si>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</si>
  <si>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</si>
  <si>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</si>
  <si>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</si>
  <si>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</si>
  <si>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</si>
  <si>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</si>
  <si>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</si>
  <si>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</si>
  <si>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</si>
  <si>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</si>
  <si>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</si>
  <si>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</si>
  <si>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</si>
  <si>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</si>
  <si>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</si>
  <si>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</si>
  <si>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</si>
  <si>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</si>
  <si>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</si>
  <si>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</si>
  <si>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</si>
  <si>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</si>
  <si>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</si>
  <si>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</si>
  <si>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</si>
  <si>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</si>
  <si>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</si>
  <si>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</si>
  <si>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</si>
  <si>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</si>
  <si>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</si>
  <si>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</si>
  <si>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</si>
  <si>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</si>
  <si>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</si>
  <si>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</si>
  <si>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</si>
  <si>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</si>
  <si>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</si>
  <si>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</si>
  <si>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</si>
  <si>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</si>
  <si>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</si>
  <si>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</si>
  <si>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</si>
  <si>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</si>
  <si>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</si>
  <si>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</si>
  <si>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</si>
  <si>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</si>
  <si>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</si>
  <si>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</si>
  <si>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</si>
  <si>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</si>
  <si>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</si>
  <si>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</si>
  <si>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</si>
  <si>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</si>
  <si>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</si>
  <si>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</si>
  <si>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</si>
  <si>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</si>
  <si>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</si>
  <si>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</si>
  <si>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</si>
  <si>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</si>
  <si>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</si>
  <si>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</si>
  <si>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</si>
  <si>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</si>
  <si>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</si>
  <si>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</si>
  <si>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</si>
  <si>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</si>
  <si>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</si>
  <si>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</si>
  <si>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</si>
  <si>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</si>
  <si>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</si>
  <si>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</si>
  <si>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</si>
  <si>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</si>
  <si>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</si>
  <si>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</si>
  <si>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</si>
  <si>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</si>
  <si>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</si>
  <si>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</si>
  <si>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</si>
  <si>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</si>
  <si>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</si>
  <si>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</si>
  <si>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</si>
  <si>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</si>
  <si>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</si>
  <si>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</si>
  <si>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</si>
  <si>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</si>
  <si>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</si>
  <si>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</si>
  <si>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</si>
  <si>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</si>
  <si>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</si>
  <si>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</si>
  <si>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</si>
  <si>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</si>
  <si>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</si>
  <si>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</si>
  <si>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</si>
  <si>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</si>
  <si>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</si>
  <si>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</si>
  <si>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</si>
  <si>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</si>
  <si>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</si>
  <si>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</si>
  <si>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</si>
  <si>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</si>
  <si>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</si>
  <si>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</si>
  <si>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</si>
  <si>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</si>
  <si>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</si>
  <si>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</si>
  <si>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</si>
  <si>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</si>
  <si>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</si>
  <si>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</si>
  <si>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</si>
  <si>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</si>
  <si>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</si>
  <si>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</si>
  <si>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</si>
  <si>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</si>
  <si>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</si>
  <si>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</si>
  <si>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</si>
  <si>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</si>
  <si>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</si>
  <si>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</si>
  <si>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</si>
  <si>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</si>
  <si>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</si>
  <si>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</si>
  <si>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</si>
  <si>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</si>
  <si>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</si>
  <si>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</si>
  <si>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</si>
  <si>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</si>
  <si>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</si>
  <si>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</si>
  <si>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</si>
  <si>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</si>
  <si>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</si>
  <si>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</si>
  <si>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</si>
  <si>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</si>
  <si>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</si>
  <si>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</si>
  <si>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</si>
  <si>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</si>
  <si>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</si>
  <si>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</si>
  <si>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</si>
  <si>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</si>
  <si>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</si>
  <si>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</si>
  <si>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</si>
  <si>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</si>
  <si>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</si>
  <si>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</si>
  <si>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</si>
  <si>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</si>
  <si>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</si>
  <si>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</si>
  <si>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</si>
  <si>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</si>
  <si>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</si>
  <si>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</si>
  <si>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</si>
  <si>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</si>
  <si>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</si>
  <si>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</si>
  <si>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</si>
  <si>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</si>
  <si>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</si>
  <si>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</si>
  <si>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</si>
  <si>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</si>
  <si>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</si>
  <si>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</si>
  <si>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</si>
  <si>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</si>
  <si>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</si>
  <si>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</si>
  <si>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</si>
  <si>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</si>
  <si>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</si>
  <si>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</si>
  <si>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</si>
  <si>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</si>
  <si>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</si>
  <si>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</si>
  <si>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</si>
  <si>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</si>
  <si>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</si>
  <si>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</si>
  <si>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</si>
  <si>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</si>
  <si>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</si>
  <si>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</si>
  <si>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</si>
  <si>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</si>
  <si>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</si>
  <si>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</si>
  <si>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</si>
  <si>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</si>
  <si>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</si>
  <si>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</si>
  <si>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</si>
  <si>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</si>
  <si>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</si>
  <si>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</si>
  <si>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</si>
  <si>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</si>
  <si>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</si>
  <si>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</si>
  <si>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</si>
  <si>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</si>
  <si>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</si>
  <si>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</si>
  <si>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</si>
  <si>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</si>
  <si>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</si>
  <si>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</si>
  <si>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</si>
  <si>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</si>
  <si>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</si>
  <si>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</si>
  <si>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</si>
  <si>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</si>
  <si>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</si>
  <si>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</si>
  <si>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</si>
  <si>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</si>
  <si>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</si>
  <si>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</si>
  <si>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</si>
  <si>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</si>
  <si>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</si>
  <si>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</si>
  <si>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</si>
  <si>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</si>
  <si>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</si>
  <si>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</si>
  <si>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</si>
  <si>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</si>
  <si>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</si>
  <si>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</si>
  <si>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</si>
  <si>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</si>
  <si>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</si>
  <si>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</si>
  <si>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</si>
  <si>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</si>
  <si>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</si>
  <si>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</si>
  <si>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</si>
  <si>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</si>
  <si>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</si>
  <si>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</si>
  <si>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</si>
  <si>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</si>
  <si>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</si>
  <si>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</si>
  <si>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</si>
  <si>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</si>
  <si>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</si>
  <si>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</si>
  <si>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</si>
  <si>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</si>
  <si>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</si>
  <si>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</si>
  <si>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</si>
  <si>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</si>
  <si>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</si>
  <si>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</si>
  <si>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</si>
  <si>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</si>
  <si>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</si>
  <si>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</si>
  <si>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</si>
  <si>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</si>
  <si>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</si>
  <si>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</si>
  <si>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</si>
  <si>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</si>
  <si>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</si>
  <si>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</si>
  <si>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</si>
  <si>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</si>
  <si>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</si>
  <si>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</si>
  <si>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</si>
  <si>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</si>
  <si>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</si>
  <si>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</si>
  <si>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</si>
  <si>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</si>
  <si>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</si>
  <si>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</si>
  <si>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</si>
  <si>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</si>
  <si>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</si>
  <si>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</si>
  <si>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</si>
  <si>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</si>
  <si>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</si>
  <si>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</si>
  <si>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</si>
  <si>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</si>
  <si>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</si>
  <si>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</si>
  <si>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</si>
  <si>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</si>
  <si>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</si>
  <si>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</si>
  <si>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</si>
  <si>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</si>
  <si>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</si>
  <si>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</si>
  <si>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</si>
  <si>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</si>
  <si>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</si>
  <si>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</si>
  <si>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</si>
  <si>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</si>
  <si>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</si>
  <si>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</si>
  <si>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</si>
  <si>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</si>
  <si>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</si>
  <si>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</si>
  <si>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</si>
  <si>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</si>
  <si>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</si>
  <si>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</si>
  <si>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</si>
  <si>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</si>
  <si>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</si>
  <si>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</si>
  <si>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</si>
  <si>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</si>
  <si>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</si>
  <si>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</si>
  <si>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</si>
  <si>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</si>
  <si>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</si>
  <si>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</si>
  <si>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</si>
  <si>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</si>
  <si>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</si>
  <si>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</si>
  <si>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</si>
  <si>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</si>
  <si>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</si>
  <si>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</si>
  <si>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</si>
  <si>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</si>
  <si>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</si>
  <si>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</si>
  <si>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</si>
  <si>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</si>
  <si>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</si>
  <si>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</si>
  <si>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</si>
  <si>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</si>
  <si>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</si>
  <si>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</si>
  <si>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</si>
  <si>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</si>
  <si>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</si>
  <si>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</si>
  <si>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</si>
  <si>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</si>
  <si>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</si>
  <si>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</si>
  <si>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</si>
  <si>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</si>
  <si>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</si>
  <si>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</si>
  <si>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</si>
  <si>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</si>
  <si>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</si>
  <si>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</si>
  <si>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</si>
  <si>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</si>
  <si>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</si>
  <si>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</si>
  <si>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</si>
  <si>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</si>
  <si>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</si>
  <si>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</si>
  <si>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</si>
  <si>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</si>
  <si>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</si>
  <si>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</si>
  <si>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</si>
  <si>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</si>
  <si>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</si>
  <si>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</si>
  <si>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</si>
  <si>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</si>
  <si>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</si>
  <si>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</si>
  <si>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</si>
  <si>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</si>
  <si>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</si>
  <si>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</si>
  <si>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</si>
  <si>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</si>
  <si>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</si>
  <si>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</si>
  <si>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</si>
  <si>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</si>
  <si>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</si>
  <si>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</si>
  <si>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</si>
  <si>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</si>
  <si>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</si>
  <si>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</si>
  <si>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</si>
  <si>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</si>
  <si>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</si>
  <si>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</si>
  <si>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</si>
  <si>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</si>
  <si>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</si>
  <si>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</si>
  <si>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</si>
  <si>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</si>
  <si>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</si>
  <si>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</si>
  <si>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</si>
  <si>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</si>
  <si>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</si>
  <si>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</si>
  <si>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</si>
  <si>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</si>
  <si>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</si>
  <si>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</si>
  <si>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</si>
  <si>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</si>
  <si>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</si>
  <si>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</si>
  <si>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</si>
  <si>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</si>
  <si>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</si>
  <si>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</si>
  <si>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</si>
  <si>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</si>
  <si>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</si>
  <si>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</si>
  <si>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</si>
  <si>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</si>
  <si>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</si>
  <si>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</si>
  <si>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</si>
  <si>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</si>
  <si>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</si>
  <si>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</si>
  <si>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</si>
  <si>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</si>
  <si>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</si>
  <si>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</si>
  <si>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</si>
  <si>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</si>
  <si>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</si>
  <si>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</si>
  <si>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</si>
  <si>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</si>
  <si>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</si>
  <si>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</si>
  <si>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</si>
  <si>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</si>
  <si>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</si>
  <si>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</si>
  <si>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</si>
  <si>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</si>
  <si>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</si>
  <si>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</si>
  <si>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</si>
  <si>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</si>
  <si>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</si>
  <si>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</si>
  <si>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</si>
  <si>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</si>
  <si>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</si>
  <si>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</si>
  <si>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</si>
  <si>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</si>
  <si>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</si>
  <si>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</si>
  <si>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</si>
  <si>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</si>
  <si>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</si>
  <si>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</si>
  <si>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</si>
  <si>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</si>
  <si>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</si>
  <si>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</si>
  <si>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</si>
  <si>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</si>
  <si>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</si>
  <si>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</si>
  <si>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</si>
  <si>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</si>
  <si>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</si>
  <si>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</si>
  <si>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</si>
  <si>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</si>
  <si>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</si>
  <si>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</si>
  <si>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</si>
  <si>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</si>
  <si>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</si>
  <si>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</si>
  <si>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</si>
  <si>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</si>
  <si>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</si>
  <si>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</si>
  <si>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</si>
  <si>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</si>
  <si>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</si>
  <si>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</si>
  <si>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</si>
  <si>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</si>
  <si>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</si>
  <si>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</si>
  <si>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</si>
  <si>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</si>
  <si>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</si>
  <si>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</si>
  <si>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</si>
  <si>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</si>
  <si>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</si>
  <si>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</si>
  <si>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</si>
  <si>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</si>
  <si>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</si>
  <si>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</si>
  <si>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</si>
  <si>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</si>
  <si>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</si>
  <si>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</si>
  <si>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</si>
  <si>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</si>
  <si>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</si>
  <si>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</si>
  <si>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</si>
  <si>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</si>
  <si>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</si>
  <si>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</si>
  <si>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</si>
  <si>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</si>
  <si>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</si>
  <si>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</si>
  <si>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</si>
  <si>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</si>
  <si>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</si>
  <si>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</si>
  <si>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</si>
  <si>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</si>
  <si>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</si>
  <si>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</si>
  <si>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</si>
  <si>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</si>
  <si>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</si>
  <si>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</si>
  <si>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</si>
  <si>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</si>
  <si>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</si>
  <si>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</si>
  <si>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</si>
  <si>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</si>
  <si>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</si>
  <si>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</si>
  <si>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</si>
  <si>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</si>
  <si>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</si>
  <si>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</si>
  <si>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</si>
  <si>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</si>
  <si>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</si>
  <si>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</si>
  <si>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</si>
  <si>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</si>
  <si>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</si>
  <si>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</si>
  <si>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</si>
  <si>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</si>
  <si>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</si>
  <si>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</si>
  <si>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</si>
  <si>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</si>
  <si>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</si>
  <si>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</si>
  <si>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</si>
  <si>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</si>
  <si>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</si>
  <si>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</si>
  <si>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</si>
  <si>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</si>
  <si>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</si>
  <si>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</si>
  <si>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</si>
  <si>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</si>
  <si>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</si>
  <si>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</si>
  <si>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</si>
  <si>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</si>
  <si>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</si>
  <si>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</si>
  <si>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</si>
  <si>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</si>
  <si>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</si>
  <si>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</si>
  <si>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</si>
  <si>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</si>
  <si>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</si>
  <si>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</si>
  <si>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</si>
  <si>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</si>
  <si>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</si>
  <si>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</si>
  <si>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</si>
  <si>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</si>
  <si>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</si>
  <si>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</si>
  <si>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</si>
  <si>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</si>
  <si>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</si>
  <si>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</si>
  <si>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</si>
  <si>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</si>
  <si>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</si>
  <si>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</si>
  <si>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</si>
  <si>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</si>
  <si>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</si>
  <si>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</si>
  <si>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</si>
  <si>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</si>
  <si>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</si>
  <si>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</si>
  <si>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</si>
  <si>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</si>
  <si>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</si>
  <si>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</si>
  <si>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</si>
  <si>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</si>
  <si>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</si>
  <si>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</si>
  <si>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</si>
  <si>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</si>
  <si>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</si>
  <si>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</si>
  <si>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</si>
  <si>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</si>
  <si>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</si>
  <si>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</si>
  <si>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</si>
  <si>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</si>
  <si>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</si>
  <si>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</si>
  <si>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</si>
  <si>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</si>
  <si>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</si>
  <si>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</si>
  <si>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</si>
  <si>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</si>
  <si>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</si>
  <si>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</si>
  <si>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</si>
  <si>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</si>
  <si>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</si>
  <si>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</si>
  <si>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</si>
  <si>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</si>
  <si>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</si>
  <si>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</si>
  <si>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</si>
  <si>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</si>
  <si>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</si>
  <si>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</si>
  <si>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</si>
  <si>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</si>
  <si>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</si>
  <si>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</si>
  <si>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</si>
  <si>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</si>
  <si>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</si>
  <si>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</si>
  <si>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</si>
  <si>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</si>
  <si>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</si>
  <si>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</si>
  <si>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</si>
  <si>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</si>
  <si>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</si>
  <si>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</si>
  <si>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</si>
  <si>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</si>
  <si>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</si>
  <si>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</si>
  <si>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</si>
  <si>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</si>
  <si>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</si>
  <si>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</si>
  <si>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</si>
  <si>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</si>
  <si>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</si>
  <si>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</si>
  <si>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</si>
  <si>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</si>
  <si>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</si>
  <si>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</si>
  <si>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</si>
  <si>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</si>
  <si>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</si>
  <si>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</si>
  <si>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</si>
  <si>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</si>
  <si>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</si>
  <si>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</si>
  <si>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</si>
  <si>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</si>
  <si>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</si>
  <si>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</si>
  <si>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</si>
  <si>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</si>
  <si>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</si>
  <si>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</si>
  <si>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</si>
  <si>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</si>
  <si>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</si>
  <si>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</si>
  <si>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</si>
  <si>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</si>
  <si>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</si>
  <si>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</si>
  <si>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</si>
  <si>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</si>
  <si>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</si>
  <si>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</si>
  <si>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</si>
  <si>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</si>
  <si>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</si>
  <si>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</si>
  <si>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</si>
  <si>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</si>
  <si>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</si>
  <si>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</si>
  <si>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</si>
  <si>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</si>
  <si>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</si>
  <si>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</si>
  <si>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</si>
  <si>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</si>
  <si>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</si>
  <si>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</si>
  <si>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</si>
  <si>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</si>
  <si>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</si>
  <si>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</si>
  <si>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</si>
  <si>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</si>
  <si>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</si>
  <si>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</si>
  <si>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</si>
  <si>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</si>
  <si>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</si>
  <si>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</si>
  <si>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</si>
  <si>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</si>
  <si>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</si>
  <si>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</si>
  <si>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</si>
  <si>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</si>
  <si>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</si>
  <si>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</si>
  <si>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</si>
  <si>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</si>
  <si>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</si>
  <si>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</si>
  <si>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</si>
  <si>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</si>
  <si>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</si>
  <si>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</si>
  <si>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</si>
  <si>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</si>
  <si>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</si>
  <si>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</si>
  <si>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</si>
  <si>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</si>
  <si>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</si>
  <si>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</si>
  <si>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</si>
  <si>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</si>
  <si>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</si>
  <si>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</si>
  <si>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</si>
  <si>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</si>
  <si>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</si>
  <si>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</si>
  <si>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</si>
  <si>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</si>
  <si>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</si>
  <si>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</si>
  <si>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</si>
  <si>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</si>
  <si>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</si>
  <si>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</si>
  <si>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</si>
  <si>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</si>
  <si>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</si>
  <si>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</si>
  <si>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</si>
  <si>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</si>
  <si>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</si>
  <si>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</si>
  <si>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</si>
  <si>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</si>
  <si>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</si>
  <si>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</si>
  <si>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</si>
  <si>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</si>
  <si>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</si>
  <si>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</si>
  <si>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</si>
  <si>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</si>
  <si>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</si>
  <si>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</si>
  <si>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</si>
  <si>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</si>
  <si>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</si>
  <si>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</si>
  <si>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</si>
  <si>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</si>
  <si>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</si>
  <si>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</si>
  <si>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</si>
  <si>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</si>
  <si>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</si>
  <si>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</si>
  <si>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</si>
  <si>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</si>
  <si>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</si>
  <si>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</si>
  <si>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</si>
  <si>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</si>
  <si>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</si>
  <si>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</si>
  <si>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</si>
  <si>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</si>
  <si>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</si>
  <si>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</si>
  <si>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</si>
  <si>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</si>
  <si>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</si>
  <si>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</si>
  <si>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</si>
  <si>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</si>
  <si>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</si>
  <si>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</si>
  <si>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</si>
  <si>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</si>
  <si>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</si>
  <si>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</si>
  <si>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</si>
  <si>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</si>
  <si>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</si>
  <si>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</si>
  <si>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</si>
  <si>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</si>
  <si>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</si>
  <si>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</si>
  <si>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</si>
  <si>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</si>
  <si>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</si>
  <si>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</si>
  <si>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</si>
  <si>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</si>
  <si>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</si>
  <si>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</si>
  <si>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</si>
  <si>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</si>
  <si>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</si>
  <si>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</si>
  <si>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</si>
  <si>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</si>
  <si>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</si>
  <si>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</si>
  <si>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</si>
  <si>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</si>
  <si>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</si>
  <si>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</si>
  <si>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</si>
  <si>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</si>
  <si>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</si>
  <si>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</si>
  <si>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</si>
  <si>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</si>
  <si>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</si>
  <si>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</si>
  <si>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</si>
  <si>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</si>
  <si>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</si>
  <si>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</si>
  <si>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</si>
  <si>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</si>
  <si>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</si>
  <si>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</si>
  <si>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</si>
  <si>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</si>
  <si>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</si>
  <si>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</si>
  <si>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</si>
  <si>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</si>
  <si>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</si>
  <si>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</si>
  <si>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</si>
  <si>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</si>
  <si>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</si>
  <si>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</si>
  <si>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</si>
  <si>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</si>
  <si>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</si>
  <si>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</si>
  <si>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</si>
  <si>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</si>
  <si>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</si>
  <si>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</si>
  <si>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</si>
  <si>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</si>
  <si>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</si>
  <si>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</si>
  <si>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</si>
  <si>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</si>
  <si>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</si>
  <si>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</si>
  <si>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</si>
  <si>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</si>
  <si>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</si>
  <si>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</si>
  <si>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</si>
  <si>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</si>
  <si>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</si>
  <si>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</si>
  <si>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</si>
  <si>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</si>
  <si>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</si>
  <si>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</si>
  <si>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</si>
  <si>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</si>
  <si>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</si>
  <si>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</si>
  <si>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</si>
  <si>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</si>
  <si>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</si>
  <si>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</si>
  <si>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</si>
  <si>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</si>
  <si>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</si>
  <si>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</si>
  <si>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</si>
  <si>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</si>
  <si>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</si>
  <si>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</si>
  <si>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</si>
  <si>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</si>
  <si>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</si>
  <si>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</si>
  <si>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</si>
  <si>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</si>
  <si>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</si>
  <si>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</si>
  <si>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</si>
  <si>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</si>
  <si>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</si>
  <si>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</si>
  <si>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</si>
  <si>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</si>
  <si>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</si>
  <si>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</si>
  <si>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</si>
  <si>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</si>
  <si>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</si>
  <si>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</si>
  <si>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</si>
  <si>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</si>
  <si>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</si>
  <si>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</si>
  <si>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</si>
  <si>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</si>
  <si>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</si>
  <si>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</si>
  <si>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</si>
  <si>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</si>
  <si>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</si>
  <si>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</si>
  <si>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</si>
  <si>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</si>
  <si>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</si>
  <si>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</si>
  <si>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</si>
  <si>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</si>
  <si>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</si>
  <si>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</si>
  <si>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</si>
  <si>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</si>
  <si>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</si>
  <si>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</si>
  <si>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</si>
  <si>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</si>
  <si>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</si>
  <si>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</si>
  <si>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</si>
  <si>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</si>
  <si>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</si>
  <si>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</si>
  <si>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</si>
  <si>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</si>
  <si>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</si>
  <si>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</si>
  <si>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</si>
  <si>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</si>
  <si>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</si>
  <si>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</si>
  <si>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</si>
  <si>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</si>
  <si>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</si>
  <si>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</si>
  <si>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</si>
  <si>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</si>
  <si>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</si>
  <si>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</si>
  <si>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</si>
  <si>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</si>
  <si>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</si>
  <si>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</si>
  <si>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</si>
  <si>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</si>
  <si>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</si>
  <si>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</si>
  <si>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</si>
  <si>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</si>
  <si>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</si>
  <si>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</si>
  <si>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</si>
  <si>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</si>
  <si>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</si>
  <si>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</si>
  <si>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</si>
  <si>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</si>
  <si>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</si>
  <si>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</si>
  <si>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</si>
  <si>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</si>
  <si>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</si>
  <si>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</si>
  <si>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</si>
  <si>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</si>
  <si>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</si>
  <si>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</si>
  <si>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</si>
  <si>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</si>
  <si>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</si>
  <si>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</si>
  <si>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</si>
  <si>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</si>
  <si>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</si>
  <si>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</si>
  <si>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</si>
  <si>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</si>
  <si>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</si>
  <si>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</si>
  <si>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</si>
  <si>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</si>
  <si>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</si>
  <si>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</si>
  <si>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</si>
  <si>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</si>
  <si>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</si>
  <si>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</si>
  <si>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</si>
  <si>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</si>
  <si>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</si>
  <si>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</si>
  <si>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</si>
  <si>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</si>
  <si>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</si>
  <si>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</si>
  <si>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</si>
  <si>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</si>
  <si>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</si>
  <si>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</si>
  <si>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</si>
  <si>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</si>
  <si>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</si>
  <si>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</si>
  <si>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</si>
  <si>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</si>
  <si>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</si>
  <si>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</si>
  <si>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</si>
  <si>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</si>
  <si>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</si>
  <si>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</si>
  <si>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</si>
  <si>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</si>
  <si>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</si>
  <si>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</si>
  <si>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</si>
  <si>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</si>
  <si>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</si>
  <si>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</si>
  <si>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</si>
  <si>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</si>
  <si>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</si>
  <si>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</si>
  <si>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</si>
  <si>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</si>
  <si>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</si>
  <si>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</si>
  <si>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</si>
  <si>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</si>
  <si>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</si>
  <si>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</si>
  <si>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</si>
  <si>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</si>
  <si>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</si>
  <si>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</si>
  <si>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</si>
  <si>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</si>
  <si>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</si>
  <si>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</si>
  <si>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</si>
  <si>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</si>
  <si>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</si>
  <si>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</si>
  <si>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</si>
  <si>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</si>
  <si>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</si>
  <si>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</si>
  <si>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</si>
  <si>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</si>
  <si>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</si>
  <si>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</si>
  <si>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</si>
  <si>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</si>
  <si>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</si>
  <si>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</si>
  <si>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</si>
  <si>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</si>
  <si>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</si>
  <si>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</si>
  <si>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</si>
  <si>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</si>
  <si>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</si>
  <si>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</si>
  <si>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</si>
  <si>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</si>
  <si>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</si>
  <si>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</si>
  <si>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</si>
  <si>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</si>
  <si>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</si>
  <si>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</si>
  <si>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</si>
  <si>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</si>
  <si>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</si>
  <si>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</si>
  <si>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</si>
  <si>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</si>
  <si>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</si>
  <si>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</si>
  <si>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</si>
  <si>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</si>
  <si>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</si>
  <si>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</si>
  <si>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</si>
  <si>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</si>
  <si>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</si>
  <si>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</si>
  <si>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</si>
  <si>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</si>
  <si>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</si>
  <si>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</si>
  <si>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</si>
  <si>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</si>
  <si>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</si>
  <si>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</si>
  <si>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</si>
  <si>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</si>
  <si>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</si>
  <si>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</si>
  <si>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</si>
  <si>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</si>
  <si>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</si>
  <si>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</si>
  <si>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</si>
  <si>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</si>
  <si>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</si>
  <si>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</si>
  <si>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</si>
  <si>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</si>
  <si>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</si>
  <si>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</si>
  <si>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</si>
  <si>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</si>
  <si>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</si>
  <si>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</si>
  <si>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</si>
  <si>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</si>
  <si>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</si>
  <si>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</si>
  <si>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</si>
  <si>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</si>
  <si>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</si>
  <si>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</si>
  <si>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</si>
  <si>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</si>
  <si>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</si>
  <si>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</si>
  <si>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</si>
  <si>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</si>
  <si>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</si>
  <si>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</si>
  <si>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</si>
  <si>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</si>
  <si>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</si>
  <si>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</si>
  <si>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</si>
  <si>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</si>
  <si>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</si>
  <si>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</si>
  <si>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</si>
  <si>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</si>
  <si>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</si>
  <si>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</si>
  <si>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</si>
  <si>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</si>
  <si>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</si>
  <si>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</si>
  <si>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</si>
  <si>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</si>
  <si>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</si>
  <si>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</si>
  <si>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</si>
  <si>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</si>
  <si>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</si>
  <si>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</si>
  <si>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</si>
  <si>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</si>
  <si>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</si>
  <si>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</si>
  <si>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</si>
  <si>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</si>
  <si>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</si>
  <si>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</si>
  <si>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</si>
  <si>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</si>
  <si>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</si>
  <si>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</si>
  <si>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</si>
  <si>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</si>
  <si>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</si>
  <si>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</si>
  <si>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</si>
  <si>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</si>
  <si>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</si>
  <si>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</si>
  <si>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</si>
  <si>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</si>
  <si>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</si>
  <si>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</si>
  <si>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</si>
  <si>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</si>
  <si>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</si>
  <si>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</si>
  <si>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</si>
  <si>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</si>
  <si>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</si>
  <si>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</si>
  <si>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</si>
  <si>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</si>
  <si>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</si>
  <si>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</si>
  <si>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</si>
  <si>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</si>
  <si>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</si>
  <si>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</si>
  <si>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</si>
  <si>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</si>
  <si>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</si>
  <si>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</si>
  <si>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</si>
  <si>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</si>
  <si>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</si>
  <si>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</si>
  <si>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</si>
  <si>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</si>
  <si>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</si>
  <si>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</si>
  <si>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</si>
  <si>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</si>
  <si>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</si>
  <si>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</si>
  <si>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</si>
  <si>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</si>
  <si>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</si>
  <si>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</si>
  <si>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</si>
  <si>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</si>
  <si>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</si>
  <si>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</si>
  <si>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</si>
  <si>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</si>
  <si>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</si>
  <si>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</si>
  <si>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</si>
  <si>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</si>
  <si>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</si>
  <si>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</si>
  <si>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</si>
  <si>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</si>
  <si>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</si>
  <si>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</si>
  <si>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</si>
  <si>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</si>
  <si>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</si>
  <si>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</si>
  <si>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</si>
  <si>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</si>
  <si>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</si>
  <si>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</si>
  <si>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</si>
  <si>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</si>
  <si>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</si>
  <si>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</si>
  <si>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</si>
  <si>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</si>
  <si>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</si>
  <si>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</si>
  <si>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</si>
  <si>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</si>
  <si>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</si>
  <si>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</si>
  <si>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</si>
  <si>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</si>
  <si>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</si>
  <si>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</si>
  <si>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</si>
  <si>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</si>
  <si>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</si>
  <si>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</si>
  <si>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</si>
  <si>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</si>
  <si>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</si>
  <si>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</si>
  <si>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</si>
  <si>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</si>
  <si>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</si>
  <si>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</si>
  <si>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</si>
  <si>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</si>
  <si>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</si>
  <si>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</si>
  <si>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</si>
  <si>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</si>
  <si>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</si>
  <si>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</si>
  <si>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</si>
  <si>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</si>
  <si>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</si>
  <si>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</si>
  <si>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</si>
  <si>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</si>
  <si>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</si>
  <si>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</si>
  <si>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</si>
  <si>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</si>
  <si>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</si>
  <si>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</si>
  <si>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</si>
  <si>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</si>
  <si>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</si>
  <si>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</si>
  <si>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</si>
  <si>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</si>
  <si>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</si>
  <si>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</si>
  <si>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</si>
  <si>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</si>
  <si>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</si>
  <si>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</si>
  <si>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</si>
  <si>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</si>
  <si>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</si>
  <si>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</si>
  <si>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</si>
  <si>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</si>
  <si>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</si>
  <si>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</si>
  <si>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</si>
  <si>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</si>
  <si>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</si>
  <si>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</si>
  <si>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</si>
  <si>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</si>
  <si>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</si>
  <si>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</si>
  <si>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</si>
  <si>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</si>
  <si>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</si>
  <si>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</si>
  <si>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</si>
  <si>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</si>
  <si>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</si>
  <si>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</si>
  <si>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</si>
  <si>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</si>
  <si>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</si>
  <si>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</si>
  <si>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</si>
  <si>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</si>
  <si>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</si>
  <si>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</si>
  <si>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</si>
  <si>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</si>
  <si>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</si>
  <si>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</si>
  <si>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</si>
  <si>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</si>
  <si>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</si>
  <si>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</si>
  <si>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</si>
  <si>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</si>
  <si>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</si>
  <si>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</si>
  <si>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</si>
  <si>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</si>
  <si>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</si>
  <si>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</si>
  <si>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</si>
  <si>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</si>
  <si>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</si>
  <si>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</si>
  <si>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</si>
  <si>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</si>
  <si>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</si>
  <si>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</si>
  <si>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</si>
  <si>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</si>
  <si>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</si>
  <si>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</si>
  <si>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</si>
  <si>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</si>
  <si>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</si>
  <si>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</si>
  <si>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</si>
  <si>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</si>
  <si>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</si>
  <si>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</si>
  <si>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</si>
  <si>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</si>
  <si>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</si>
  <si>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</si>
  <si>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</si>
  <si>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</si>
  <si>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</si>
  <si>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</si>
  <si>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</si>
  <si>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</si>
  <si>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</si>
  <si>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</si>
  <si>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</si>
  <si>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</si>
  <si>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</si>
  <si>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</si>
  <si>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</si>
  <si>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</si>
  <si>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</si>
  <si>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</si>
  <si>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</si>
  <si>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</si>
  <si>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</si>
  <si>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</si>
  <si>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</si>
  <si>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</si>
  <si>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</si>
  <si>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</si>
  <si>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</si>
  <si>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</si>
  <si>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</si>
  <si>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</si>
  <si>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</si>
  <si>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</si>
  <si>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</si>
  <si>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</si>
  <si>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</si>
  <si>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</si>
  <si>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</si>
  <si>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</si>
  <si>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</si>
  <si>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</si>
  <si>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</si>
  <si>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</si>
  <si>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</si>
  <si>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</si>
  <si>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</si>
  <si>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</si>
  <si>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</si>
  <si>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</si>
  <si>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</si>
  <si>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</si>
  <si>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</si>
  <si>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</si>
  <si>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</si>
  <si>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</si>
  <si>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</si>
  <si>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</si>
  <si>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</si>
  <si>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</si>
  <si>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</si>
  <si>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</si>
  <si>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</si>
  <si>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</si>
  <si>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</si>
  <si>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</si>
  <si>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</si>
  <si>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</si>
  <si>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</si>
  <si>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</si>
  <si>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</si>
  <si>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</si>
  <si>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</si>
  <si>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</si>
  <si>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</si>
  <si>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</si>
  <si>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</si>
  <si>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</si>
  <si>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</si>
  <si>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</si>
  <si>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</si>
  <si>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</si>
  <si>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</si>
  <si>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</si>
  <si>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</si>
  <si>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</si>
  <si>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</si>
  <si>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</si>
  <si>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</si>
  <si>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</si>
  <si>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</si>
  <si>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</si>
  <si>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</si>
  <si>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</si>
  <si>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</si>
  <si>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</si>
  <si>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</si>
  <si>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</si>
  <si>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</si>
  <si>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</si>
  <si>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</si>
  <si>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</si>
  <si>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</si>
  <si>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</si>
  <si>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</si>
  <si>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</si>
  <si>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</si>
  <si>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</si>
  <si>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</si>
  <si>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</si>
  <si>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</si>
  <si>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</si>
  <si>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</si>
  <si>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</si>
  <si>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</si>
  <si>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</si>
  <si>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</si>
  <si>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</si>
  <si>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</si>
  <si>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</si>
  <si>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</si>
  <si>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</si>
  <si>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</si>
  <si>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</si>
  <si>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</si>
  <si>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</si>
  <si>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</si>
  <si>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</si>
  <si>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</si>
  <si>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</si>
  <si>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</si>
  <si>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</si>
  <si>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</si>
  <si>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</si>
  <si>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</si>
  <si>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</si>
  <si>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</si>
  <si>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</si>
  <si>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</si>
  <si>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</si>
  <si>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</si>
  <si>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</si>
  <si>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</si>
  <si>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</si>
  <si>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</si>
  <si>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</si>
  <si>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</si>
  <si>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</si>
  <si>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</si>
  <si>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</si>
  <si>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</si>
  <si>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</si>
  <si>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</si>
  <si>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</si>
  <si>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</si>
  <si>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</si>
  <si>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</si>
  <si>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</si>
  <si>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</si>
  <si>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</si>
  <si>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</si>
  <si>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</si>
  <si>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</si>
  <si>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</si>
  <si>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</si>
  <si>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</si>
  <si>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</si>
  <si>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</si>
  <si>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</si>
  <si>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</si>
  <si>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</si>
  <si>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</si>
  <si>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</si>
  <si>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</si>
  <si>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</si>
  <si>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</si>
  <si>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</si>
  <si>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</si>
  <si>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</si>
  <si>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</si>
  <si>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</si>
  <si>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</si>
  <si>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</si>
  <si>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</si>
  <si>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</si>
  <si>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</si>
  <si>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</si>
  <si>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</si>
  <si>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</si>
  <si>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</si>
  <si>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</si>
  <si>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</si>
  <si>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</si>
  <si>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</si>
  <si>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</si>
  <si>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</si>
  <si>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</si>
  <si>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</si>
  <si>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</si>
  <si>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</si>
  <si>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</si>
  <si>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</si>
  <si>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</si>
  <si>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</si>
  <si>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</si>
  <si>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</si>
  <si>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</si>
  <si>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</si>
  <si>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</si>
  <si>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</si>
  <si>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</si>
  <si>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</si>
  <si>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</si>
  <si>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</si>
  <si>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</si>
  <si>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</si>
  <si>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</si>
  <si>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</si>
  <si>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</si>
  <si>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</si>
  <si>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</si>
  <si>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</si>
  <si>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</si>
  <si>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</si>
  <si>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</si>
  <si>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</si>
  <si>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</si>
  <si>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</si>
  <si>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</si>
  <si>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</si>
  <si>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</si>
  <si>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</si>
  <si>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</si>
  <si>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</si>
  <si>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</si>
  <si>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</si>
  <si>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</si>
  <si>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</si>
  <si>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</si>
  <si>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</si>
  <si>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</si>
  <si>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</si>
  <si>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</si>
  <si>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</si>
  <si>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</si>
  <si>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</si>
  <si>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</si>
  <si>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</si>
  <si>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</si>
  <si>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</si>
  <si>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</si>
  <si>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</si>
  <si>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</si>
  <si>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</si>
  <si>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</si>
  <si>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</si>
  <si>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</si>
  <si>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</si>
  <si>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</si>
  <si>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</si>
  <si>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</si>
  <si>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</si>
  <si>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</si>
  <si>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</si>
  <si>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</si>
  <si>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</si>
  <si>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</si>
  <si>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</si>
  <si>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</si>
  <si>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</si>
  <si>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</si>
  <si>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</si>
  <si>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</si>
  <si>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</si>
  <si>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</si>
  <si>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</si>
  <si>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</si>
  <si>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</si>
  <si>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</si>
  <si>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</si>
  <si>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</si>
  <si>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</si>
  <si>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</si>
  <si>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</si>
  <si>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</si>
  <si>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</si>
  <si>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</si>
  <si>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</si>
  <si>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</si>
  <si>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</si>
  <si>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</si>
  <si>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</si>
  <si>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</si>
  <si>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</si>
  <si>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</si>
  <si>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</si>
  <si>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</si>
  <si>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</si>
  <si>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</si>
  <si>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</si>
  <si>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</si>
  <si>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</si>
  <si>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</si>
  <si>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</si>
  <si>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</si>
  <si>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</si>
  <si>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</si>
  <si>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</si>
  <si>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</si>
  <si>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</si>
  <si>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</si>
  <si>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</si>
  <si>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</si>
  <si>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</si>
  <si>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</si>
  <si>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</si>
  <si>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</si>
  <si>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</si>
  <si>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</si>
  <si>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</si>
  <si>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</si>
  <si>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</si>
  <si>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</si>
  <si>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</si>
  <si>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</si>
  <si>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</si>
  <si>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</si>
  <si>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</si>
  <si>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</si>
  <si>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</si>
  <si>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</si>
  <si>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</si>
  <si>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</si>
  <si>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</si>
  <si>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</si>
  <si>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</si>
  <si>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</si>
  <si>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</si>
  <si>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</si>
  <si>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</si>
  <si>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</si>
  <si>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</si>
  <si>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</si>
  <si>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</si>
  <si>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</si>
  <si>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</si>
  <si>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</si>
  <si>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</si>
  <si>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</si>
  <si>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</si>
  <si>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</si>
  <si>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</si>
  <si>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</si>
  <si>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</si>
  <si>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</si>
  <si>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</si>
  <si>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</si>
  <si>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</si>
  <si>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</si>
  <si>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</si>
  <si>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</si>
  <si>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</si>
  <si>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</si>
  <si>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</si>
  <si>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</si>
  <si>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</si>
  <si>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</si>
  <si>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</si>
  <si>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</si>
  <si>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</si>
  <si>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</si>
  <si>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</si>
  <si>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</si>
  <si>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</si>
  <si>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</si>
  <si>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</si>
  <si>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</si>
  <si>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</si>
  <si>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</si>
  <si>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</si>
  <si>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</si>
  <si>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</si>
  <si>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</si>
  <si>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</si>
  <si>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</si>
  <si>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</si>
  <si>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</si>
  <si>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</si>
  <si>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</si>
  <si>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</si>
  <si>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</si>
  <si>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</si>
  <si>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</si>
  <si>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</si>
  <si>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</si>
  <si>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</si>
  <si>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</si>
  <si>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</si>
  <si>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</si>
  <si>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</si>
  <si>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</si>
  <si>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</si>
  <si>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</si>
  <si>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</si>
  <si>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</si>
  <si>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</si>
  <si>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</si>
  <si>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</si>
  <si>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</si>
  <si>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</si>
  <si>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</si>
  <si>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</si>
  <si>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</si>
  <si>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</si>
  <si>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</si>
  <si>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</si>
  <si>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</si>
  <si>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</si>
  <si>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</si>
  <si>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</si>
  <si>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</si>
  <si>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</si>
  <si>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</si>
  <si>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</si>
  <si>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</si>
  <si>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</si>
  <si>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</si>
  <si>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</si>
  <si>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</si>
  <si>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</si>
  <si>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</si>
  <si>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</si>
  <si>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</si>
  <si>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</si>
  <si>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</si>
  <si>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</si>
  <si>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</si>
  <si>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</si>
  <si>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</si>
  <si>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</si>
  <si>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</si>
  <si>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</si>
  <si>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</si>
  <si>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</si>
  <si>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</si>
  <si>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</si>
  <si>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</si>
  <si>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</si>
  <si>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</si>
  <si>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</si>
  <si>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</si>
  <si>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</si>
  <si>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</si>
  <si>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</si>
  <si>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</si>
  <si>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</si>
  <si>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</si>
  <si>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</si>
  <si>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</si>
  <si>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</si>
  <si>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</si>
  <si>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</si>
  <si>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</si>
  <si>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</si>
  <si>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</si>
  <si>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</si>
  <si>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</si>
  <si>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</si>
  <si>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</si>
  <si>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</si>
  <si>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</si>
  <si>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</si>
  <si>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</si>
  <si>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</si>
  <si>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</si>
  <si>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</si>
  <si>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</si>
  <si>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</si>
  <si>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</si>
  <si>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</si>
  <si>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</si>
  <si>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</si>
  <si>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</si>
  <si>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</si>
  <si>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</si>
  <si>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</si>
  <si>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</si>
  <si>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</si>
  <si>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</si>
  <si>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</si>
  <si>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</si>
  <si>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</si>
  <si>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</si>
  <si>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</si>
  <si>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</si>
  <si>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</si>
  <si>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</si>
  <si>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</si>
  <si>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</si>
  <si>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</si>
  <si>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</si>
  <si>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</si>
  <si>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</si>
  <si>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</si>
  <si>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</si>
  <si>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</si>
  <si>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</si>
  <si>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</si>
  <si>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</si>
  <si>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</si>
  <si>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</si>
  <si>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</si>
  <si>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</si>
  <si>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</si>
  <si>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</si>
  <si>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</si>
  <si>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</si>
  <si>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</si>
  <si>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</si>
  <si>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</si>
  <si>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</si>
  <si>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</si>
  <si>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</si>
  <si>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</si>
  <si>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</si>
  <si>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</si>
  <si>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</si>
  <si>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</si>
  <si>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</si>
  <si>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</si>
  <si>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</si>
  <si>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</si>
  <si>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</si>
  <si>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</si>
  <si>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</si>
  <si>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</si>
  <si>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</si>
  <si>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</si>
  <si>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</si>
  <si>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</si>
  <si>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</si>
  <si>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</si>
  <si>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</si>
  <si>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</si>
  <si>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</si>
  <si>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</si>
  <si>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</si>
  <si>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</si>
  <si>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</si>
  <si>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</si>
  <si>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</si>
  <si>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</si>
  <si>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</si>
  <si>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</si>
  <si>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</si>
  <si>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</si>
  <si>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</si>
  <si>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</si>
  <si>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</si>
  <si>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</si>
  <si>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</si>
  <si>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</si>
  <si>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</si>
  <si>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</si>
  <si>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</si>
  <si>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</si>
  <si>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</si>
  <si>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</si>
  <si>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</si>
  <si>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</si>
  <si>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</si>
  <si>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</si>
  <si>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</si>
  <si>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</si>
  <si>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</si>
  <si>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</si>
  <si>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</si>
  <si>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</si>
  <si>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</si>
  <si>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</si>
  <si>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</si>
  <si>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</si>
  <si>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</si>
  <si>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</si>
  <si>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</si>
  <si>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</si>
  <si>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</si>
  <si>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</si>
  <si>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</si>
  <si>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</si>
  <si>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</si>
  <si>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</si>
  <si>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</si>
  <si>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</si>
  <si>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</si>
  <si>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</si>
  <si>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</si>
  <si>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</si>
  <si>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</si>
  <si>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</si>
  <si>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</si>
  <si>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</si>
  <si>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</si>
  <si>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</si>
  <si>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</si>
  <si>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</si>
  <si>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</si>
  <si>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</si>
  <si>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</si>
  <si>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</si>
  <si>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</si>
  <si>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</si>
  <si>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</si>
  <si>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</si>
  <si>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</si>
  <si>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</si>
  <si>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</si>
  <si>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</si>
  <si>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</si>
  <si>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</si>
  <si>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</si>
  <si>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</si>
  <si>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</si>
  <si>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</si>
  <si>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</si>
  <si>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</si>
  <si>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</si>
  <si>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</si>
  <si>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</si>
  <si>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</si>
  <si>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</si>
  <si>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</si>
  <si>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</si>
  <si>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</si>
  <si>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</si>
  <si>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</si>
  <si>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</si>
  <si>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</si>
  <si>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</si>
  <si>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</si>
  <si>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</si>
  <si>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</si>
  <si>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</si>
  <si>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</si>
  <si>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</si>
  <si>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</si>
  <si>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</si>
  <si>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</si>
  <si>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</si>
  <si>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</si>
  <si>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</si>
  <si>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</si>
  <si>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</si>
  <si>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</si>
  <si>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</si>
  <si>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</si>
  <si>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</si>
  <si>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</si>
  <si>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</si>
  <si>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</si>
  <si>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Orb</t>
  </si>
  <si>
    <t xml:space="preserve">Villeneuve Les Béziers</t>
  </si>
  <si>
    <t xml:space="preserve">06188500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</si>
  <si>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</si>
  <si>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</si>
  <si>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</si>
  <si>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</si>
  <si>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</si>
  <si>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</si>
  <si>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</si>
  <si>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</si>
  <si>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</si>
  <si>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</si>
  <si>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</si>
  <si>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</si>
  <si>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</si>
  <si>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</si>
  <si>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</si>
  <si>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</si>
  <si>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</si>
  <si>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</si>
  <si>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</si>
  <si>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</si>
  <si>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</si>
  <si>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</si>
  <si>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</si>
  <si>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</si>
  <si>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</si>
  <si>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</si>
  <si>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</si>
  <si>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</si>
  <si>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</si>
  <si>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</si>
  <si>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</si>
  <si>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</si>
  <si>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</si>
  <si>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</si>
  <si>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</si>
  <si>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</si>
  <si>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</si>
  <si>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</si>
  <si>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</si>
  <si>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</si>
  <si>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</si>
  <si>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</si>
  <si>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</si>
  <si>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</si>
  <si>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</si>
  <si>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</si>
  <si>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</si>
  <si>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</si>
  <si>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</si>
  <si>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(9,15500000000001 %)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</si>
  <si>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</si>
  <si>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</si>
  <si>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</si>
  <si>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</si>
  <si>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</si>
  <si>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</si>
  <si>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</si>
  <si>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</si>
  <si>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</si>
  <si>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</si>
  <si>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</si>
  <si>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</si>
  <si>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</si>
  <si>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</si>
  <si>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</si>
  <si>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</si>
  <si>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</si>
  <si>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</si>
  <si>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</si>
  <si>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</si>
  <si>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Bidens frondosa</t>
  </si>
  <si>
    <t xml:space="preserve">Paspalum distichum</t>
  </si>
  <si>
    <t xml:space="preserve">Xanthium orientale subsp italicum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</si>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</sst>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41526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7.92207792207792</v>
      </c>
      <c r="M5" s="323"/>
      <c r="N5" s="324" t="s">
        <v>1569</v>
      </c>
      <c r="O5" s="325" t="n">
        <v>7.74647887323944</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7.45161290322581</v>
      </c>
      <c r="O8" s="354" t="n">
        <f aca="false">IF(ISERROR(AVERAGE(J23:J82)),"      -",AVERAGE(J23:J82))</f>
        <v>1.51612903225806</v>
      </c>
      <c r="P8" s="355"/>
      <c r="Q8" s="280"/>
      <c r="R8" s="280"/>
      <c r="S8" s="280"/>
      <c r="T8" s="280"/>
      <c r="U8" s="280"/>
      <c r="V8" s="280"/>
      <c r="W8" s="292"/>
      <c r="X8" s="293"/>
    </row>
    <row r="9" customFormat="false" ht="13.8" hidden="false" customHeight="false" outlineLevel="0" collapsed="false">
      <c r="A9" s="313" t="s">
        <v>2634</v>
      </c>
      <c r="B9" s="356" t="n">
        <v>9.15</v>
      </c>
      <c r="C9" s="357"/>
      <c r="D9" s="358"/>
      <c r="E9" s="358"/>
      <c r="F9" s="359" t="n">
        <f aca="false">($B9*$B$7+$C9*$C$7)/100</f>
        <v>9.15</v>
      </c>
      <c r="G9" s="360"/>
      <c r="H9" s="361"/>
      <c r="I9" s="362"/>
      <c r="J9" s="363"/>
      <c r="K9" s="343"/>
      <c r="L9" s="364"/>
      <c r="M9" s="353" t="s">
        <v>2635</v>
      </c>
      <c r="N9" s="354" t="n">
        <f aca="false">IF(ISERROR(STDEVP(I23:I82)),"     -",STDEVP(I23:I82))</f>
        <v>4.31679921505035</v>
      </c>
      <c r="O9" s="354" t="n">
        <f aca="false">IF(ISERROR(STDEVP(J23:J82)),"      -",STDEVP(J23:J82))</f>
        <v>0.911254638182293</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14</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8</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2</v>
      </c>
      <c r="L13" s="386"/>
      <c r="M13" s="397" t="s">
        <v>2647</v>
      </c>
      <c r="N13" s="398" t="n">
        <f aca="false">COUNTIF(F23:F82,"&gt;0")</f>
        <v>34</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31</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21</v>
      </c>
      <c r="L15" s="386"/>
      <c r="M15" s="407" t="s">
        <v>2653</v>
      </c>
      <c r="N15" s="408" t="n">
        <f aca="false">COUNTIF(J23:J82,"=1")</f>
        <v>9</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13</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4</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9.155</v>
      </c>
      <c r="C20" s="436" t="n">
        <f aca="false">SUM(C23:C82)</f>
        <v>0</v>
      </c>
      <c r="D20" s="437"/>
      <c r="E20" s="438" t="s">
        <v>2659</v>
      </c>
      <c r="F20" s="439" t="n">
        <f aca="false">($B20*$B$7+$C20*$C$7)/100</f>
        <v>9.155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9.155</v>
      </c>
      <c r="C21" s="449" t="n">
        <f aca="false">C20*C7/100</f>
        <v>0</v>
      </c>
      <c r="D21" s="381" t="str">
        <f aca="false">IF(F21=0,"",IF((ABS(F21-F19))&gt;(0.2*F21),CONCATENATE(" rec. par taxa (",F21," %) supérieur à 20 % !"),""))</f>
        <v> rec. par taxa (9,155 %) supérieur à 20 % !</v>
      </c>
      <c r="E21" s="450" t="str">
        <f aca="false">IF(F21=0,"",IF((ABS(F21-F19))&gt;(0.2*F21),CONCATENATE("ATTENTION : écart entre rec. par grp (",F19," %) ","et",""),""))</f>
        <v>ATTENTION : écart entre rec. par grp (0 %) et</v>
      </c>
      <c r="F21" s="451" t="n">
        <f aca="false">B21+C21</f>
        <v>9.155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122</v>
      </c>
      <c r="B24" s="494" t="n">
        <v>0.82</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0.82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0.82</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124</v>
      </c>
      <c r="B25" s="494" t="n">
        <v>0.05</v>
      </c>
      <c r="C25" s="495"/>
      <c r="D25" s="477" t="str">
        <f aca="false">IF(ISERROR(VLOOKUP($A25,'liste reference'!$A$7:$D$904,2,0)),IF(ISERROR(VLOOKUP($A25,'liste reference'!$B$7:$D$904,1,0)),"",VLOOKUP($A25,'liste reference'!$B$7:$D$904,1,0)),VLOOKUP($A25,'liste reference'!$A$7:$D$904,2,0))</f>
        <v>Compsopogon sp.</v>
      </c>
      <c r="E25" s="496" t="e">
        <f aca="false">IF(D25="",0,VLOOKUP(D25,D$22:D24,1,0))</f>
        <v>#N/A</v>
      </c>
      <c r="F25" s="497" t="n">
        <f aca="false">($B25*$B$7+$C25*$C$7)/100</f>
        <v>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Compsopogon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6071</v>
      </c>
      <c r="Q25" s="486" t="n">
        <f aca="false">IF(ISTEXT(H25),"",(B25*$B$7/100)+(C25*$C$7/100))</f>
        <v>0.05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COMSPX</v>
      </c>
      <c r="Z25" s="280" t="n">
        <f aca="false">IF(ISERROR(MATCH(A25,'liste reference'!$A$8:$A$904,0)),IF(ISERROR(MATCH(A25,'liste reference'!$B$8:$B$904,0)),"",(MATCH(A25,'liste reference'!$B$8:$B$904,0))),(MATCH(A25,'liste reference'!$A$8:$A$904,0)))</f>
        <v>24</v>
      </c>
      <c r="AA25" s="491"/>
      <c r="AB25" s="492"/>
      <c r="AC25" s="492"/>
      <c r="BB25" s="280" t="n">
        <f aca="false">IF(A25="","",1)</f>
        <v>1</v>
      </c>
    </row>
    <row r="26" customFormat="false" ht="13.2" hidden="false" customHeight="false" outlineLevel="0" collapsed="false">
      <c r="A26" s="493" t="s">
        <v>223</v>
      </c>
      <c r="B26" s="494" t="n">
        <v>0.05</v>
      </c>
      <c r="C26" s="495"/>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0.05</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3.2" hidden="false" customHeight="false" outlineLevel="0" collapsed="false">
      <c r="A27" s="493" t="s">
        <v>226</v>
      </c>
      <c r="B27" s="494" t="n">
        <v>0.005</v>
      </c>
      <c r="C27" s="495"/>
      <c r="D27" s="477" t="str">
        <f aca="false">IF(ISERROR(VLOOKUP($A27,'liste reference'!$A$7:$D$904,2,0)),IF(ISERROR(VLOOKUP($A27,'liste reference'!$B$7:$D$904,1,0)),"",VLOOKUP($A27,'liste reference'!$B$7:$D$904,1,0)),VLOOKUP($A27,'liste reference'!$A$7:$D$904,2,0))</f>
        <v>Oscillatoria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0.005</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489"/>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3.2" hidden="false" customHeight="false" outlineLevel="0" collapsed="false">
      <c r="A28" s="493" t="s">
        <v>228</v>
      </c>
      <c r="B28" s="494" t="n">
        <v>0.29</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0.29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0.29</v>
      </c>
      <c r="R28" s="487" t="n">
        <f aca="false">IF(OR(ISTEXT(H28),Q28=0),"",IF(Q28&lt;0.1,1,IF(Q28&lt;1,2,IF(Q28&lt;10,3,IF(Q28&lt;50,4,IF(Q28&gt;=50,5,""))))))</f>
        <v>2</v>
      </c>
      <c r="S28" s="487" t="n">
        <f aca="false">IF(ISERROR(R28*I28),0,R28*I28)</f>
        <v>26</v>
      </c>
      <c r="T28" s="487" t="n">
        <f aca="false">IF(ISERROR(R28*I28*J28),0,R28*I28*J28)</f>
        <v>52</v>
      </c>
      <c r="U28" s="499" t="n">
        <f aca="false">IF(ISERROR(R28*J28),0,R28*J28)</f>
        <v>4</v>
      </c>
      <c r="V28" s="488" t="str">
        <f aca="false">IF(AND(A28="",F28=0),"",IF(F28=0,"Il manque le(s) % de rec. !",""))</f>
        <v/>
      </c>
      <c r="W28" s="489"/>
      <c r="X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3.2" hidden="false" customHeight="false" outlineLevel="0" collapsed="false">
      <c r="A29" s="493" t="s">
        <v>258</v>
      </c>
      <c r="B29" s="494" t="n">
        <v>0.1</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0.1</v>
      </c>
      <c r="R29" s="487" t="n">
        <f aca="false">IF(OR(ISTEXT(H29),Q29=0),"",IF(Q29&lt;0.1,1,IF(Q29&lt;1,2,IF(Q29&lt;10,3,IF(Q29&lt;50,4,IF(Q29&gt;=50,5,""))))))</f>
        <v>2</v>
      </c>
      <c r="S29" s="487" t="n">
        <f aca="false">IF(ISERROR(R29*I29),0,R29*I29)</f>
        <v>20</v>
      </c>
      <c r="T29" s="487" t="n">
        <f aca="false">IF(ISERROR(R29*I29*J29),0,R29*I29*J29)</f>
        <v>20</v>
      </c>
      <c r="U29" s="499" t="n">
        <f aca="false">IF(ISERROR(R29*J29),0,R29*J29)</f>
        <v>2</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3.2" hidden="false" customHeight="false" outlineLevel="0" collapsed="false">
      <c r="A30" s="493" t="s">
        <v>272</v>
      </c>
      <c r="B30" s="494" t="n">
        <v>0.05</v>
      </c>
      <c r="C30" s="495"/>
      <c r="D30" s="477" t="str">
        <f aca="false">IF(ISERROR(VLOOKUP($A30,'liste reference'!$A$7:$D$904,2,0)),IF(ISERROR(VLOOKUP($A30,'liste reference'!$B$7:$D$904,1,0)),"",VLOOKUP($A30,'liste reference'!$B$7:$D$904,1,0)),VLOOKUP($A30,'liste reference'!$A$7:$D$904,2,0))</f>
        <v>Thorea sp.</v>
      </c>
      <c r="E30" s="496" t="e">
        <f aca="false">IF(D30="",0,VLOOKUP(D30,D$22:D29,1,0))</f>
        <v>#N/A</v>
      </c>
      <c r="F30" s="497" t="n">
        <f aca="false">($B30*$B$7+$C30*$C$7)/100</f>
        <v>0.05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14</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Thorea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6085</v>
      </c>
      <c r="Q30" s="486" t="n">
        <f aca="false">IF(ISTEXT(H30),"",(B30*$B$7/100)+(C30*$C$7/100))</f>
        <v>0.05</v>
      </c>
      <c r="R30" s="487" t="n">
        <f aca="false">IF(OR(ISTEXT(H30),Q30=0),"",IF(Q30&lt;0.1,1,IF(Q30&lt;1,2,IF(Q30&lt;10,3,IF(Q30&lt;50,4,IF(Q30&gt;=50,5,""))))))</f>
        <v>1</v>
      </c>
      <c r="S30" s="487" t="n">
        <f aca="false">IF(ISERROR(R30*I30),0,R30*I30)</f>
        <v>14</v>
      </c>
      <c r="T30" s="487" t="n">
        <f aca="false">IF(ISERROR(R30*I30*J30),0,R30*I30*J30)</f>
        <v>42</v>
      </c>
      <c r="U30" s="499" t="n">
        <f aca="false">IF(ISERROR(R30*J30),0,R30*J30)</f>
        <v>3</v>
      </c>
      <c r="V30" s="488" t="str">
        <f aca="false">IF(AND(A30="",F30=0),"",IF(F30=0,"Il manque le(s) % de rec. !",""))</f>
        <v/>
      </c>
      <c r="W30" s="489"/>
      <c r="Y30" s="490" t="str">
        <f aca="false">IF(A30="new.cod","NEWCOD",IF(AND((Z30=""),ISTEXT(A30)),A30,IF(Z30="","",INDEX('liste reference'!$A$8:$A$904,Z30))))</f>
        <v>THOSPX</v>
      </c>
      <c r="Z30" s="280" t="n">
        <f aca="false">IF(ISERROR(MATCH(A30,'liste reference'!$A$8:$A$904,0)),IF(ISERROR(MATCH(A30,'liste reference'!$B$8:$B$904,0)),"",(MATCH(A30,'liste reference'!$B$8:$B$904,0))),(MATCH(A30,'liste reference'!$A$8:$A$904,0)))</f>
        <v>74</v>
      </c>
      <c r="AA30" s="491"/>
      <c r="AB30" s="492"/>
      <c r="AC30" s="492"/>
      <c r="BB30" s="280" t="n">
        <f aca="false">IF(A30="","",1)</f>
        <v>1</v>
      </c>
    </row>
    <row r="31" customFormat="false" ht="13.2" hidden="false" customHeight="false" outlineLevel="0" collapsed="false">
      <c r="A31" s="493" t="s">
        <v>749</v>
      </c>
      <c r="B31" s="494" t="n">
        <v>0.05</v>
      </c>
      <c r="C31" s="495"/>
      <c r="D31" s="477" t="str">
        <f aca="false">IF(ISERROR(VLOOKUP($A31,'liste reference'!$A$7:$D$904,2,0)),IF(ISERROR(VLOOKUP($A31,'liste reference'!$B$7:$D$904,1,0)),"",VLOOKUP($A31,'liste reference'!$B$7:$D$904,1,0)),VLOOKUP($A31,'liste reference'!$A$7:$D$904,2,0))</f>
        <v>Cinclidotus riparius</v>
      </c>
      <c r="E31" s="496" t="e">
        <f aca="false">IF(D31="",0,VLOOKUP(D31,D$22:D30,1,0))</f>
        <v>#N/A</v>
      </c>
      <c r="F31" s="497" t="n">
        <f aca="false">($B31*$B$7+$C31*$C$7)/100</f>
        <v>0.05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1321</v>
      </c>
      <c r="Q31" s="486" t="n">
        <f aca="false">IF(ISTEXT(H31),"",(B31*$B$7/100)+(C31*$C$7/100))</f>
        <v>0.05</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Y31" s="490" t="str">
        <f aca="false">IF(A31="new.cod","NEWCOD",IF(AND((Z31=""),ISTEXT(A31)),A31,IF(Z31="","",INDEX('liste reference'!$A$8:$A$904,Z31))))</f>
        <v>CINRIP</v>
      </c>
      <c r="Z31" s="280" t="n">
        <f aca="false">IF(ISERROR(MATCH(A31,'liste reference'!$A$8:$A$904,0)),IF(ISERROR(MATCH(A31,'liste reference'!$B$8:$B$904,0)),"",(MATCH(A31,'liste reference'!$B$8:$B$904,0))),(MATCH(A31,'liste reference'!$A$8:$A$904,0)))</f>
        <v>174</v>
      </c>
      <c r="AA31" s="491"/>
      <c r="AB31" s="492"/>
      <c r="AC31" s="492"/>
      <c r="BB31" s="280" t="n">
        <f aca="false">IF(A31="","",1)</f>
        <v>1</v>
      </c>
    </row>
    <row r="32" customFormat="false" ht="13.2" hidden="false" customHeight="false" outlineLevel="0" collapsed="false">
      <c r="A32" s="493" t="s">
        <v>959</v>
      </c>
      <c r="B32" s="494" t="n">
        <v>0.96</v>
      </c>
      <c r="C32" s="495"/>
      <c r="D32" s="477" t="str">
        <f aca="false">IF(ISERROR(VLOOKUP($A32,'liste reference'!$A$7:$D$904,2,0)),IF(ISERROR(VLOOKUP($A32,'liste reference'!$B$7:$D$904,1,0)),"",VLOOKUP($A32,'liste reference'!$B$7:$D$904,1,0)),VLOOKUP($A32,'liste reference'!$A$7:$D$904,2,0))</f>
        <v>Octodiceras fontanum</v>
      </c>
      <c r="E32" s="496" t="e">
        <f aca="false">IF(D32="",0,VLOOKUP(D32,D$22:D31,1,0))</f>
        <v>#N/A</v>
      </c>
      <c r="F32" s="497" t="n">
        <f aca="false">($B32*$B$7+$C32*$C$7)/100</f>
        <v>0.96</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7</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Octodiceras fontanum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1303</v>
      </c>
      <c r="Q32" s="486" t="n">
        <f aca="false">IF(ISTEXT(H32),"",(B32*$B$7/100)+(C32*$C$7/100))</f>
        <v>0.96</v>
      </c>
      <c r="R32" s="487" t="n">
        <f aca="false">IF(OR(ISTEXT(H32),Q32=0),"",IF(Q32&lt;0.1,1,IF(Q32&lt;1,2,IF(Q32&lt;10,3,IF(Q32&lt;50,4,IF(Q32&gt;=50,5,""))))))</f>
        <v>2</v>
      </c>
      <c r="S32" s="487" t="n">
        <f aca="false">IF(ISERROR(R32*I32),0,R32*I32)</f>
        <v>14</v>
      </c>
      <c r="T32" s="487" t="n">
        <f aca="false">IF(ISERROR(R32*I32*J32),0,R32*I32*J32)</f>
        <v>42</v>
      </c>
      <c r="U32" s="499" t="n">
        <f aca="false">IF(ISERROR(R32*J32),0,R32*J32)</f>
        <v>6</v>
      </c>
      <c r="V32" s="488" t="str">
        <f aca="false">IF(AND(A32="",F32=0),"",IF(F32=0,"Il manque le(s) % de rec. !",""))</f>
        <v/>
      </c>
      <c r="W32" s="500"/>
      <c r="Y32" s="490" t="str">
        <f aca="false">IF(A32="new.cod","NEWCOD",IF(AND((Z32=""),ISTEXT(A32)),A32,IF(Z32="","",INDEX('liste reference'!$A$8:$A$904,Z32))))</f>
        <v>OCTFON</v>
      </c>
      <c r="Z32" s="280" t="n">
        <f aca="false">IF(ISERROR(MATCH(A32,'liste reference'!$A$8:$A$904,0)),IF(ISERROR(MATCH(A32,'liste reference'!$B$8:$B$904,0)),"",(MATCH(A32,'liste reference'!$B$8:$B$904,0))),(MATCH(A32,'liste reference'!$A$8:$A$904,0)))</f>
        <v>228</v>
      </c>
      <c r="AA32" s="491"/>
      <c r="AB32" s="492"/>
      <c r="AC32" s="492"/>
      <c r="BB32" s="280" t="n">
        <f aca="false">IF(A32="","",1)</f>
        <v>1</v>
      </c>
    </row>
    <row r="33" customFormat="false" ht="13.2" hidden="false" customHeight="false" outlineLevel="0" collapsed="false">
      <c r="A33" s="493" t="s">
        <v>1277</v>
      </c>
      <c r="B33" s="494" t="n">
        <v>1.11</v>
      </c>
      <c r="C33" s="495"/>
      <c r="D33" s="477" t="str">
        <f aca="false">IF(ISERROR(VLOOKUP($A33,'liste reference'!$A$7:$D$904,2,0)),IF(ISERROR(VLOOKUP($A33,'liste reference'!$B$7:$D$904,1,0)),"",VLOOKUP($A33,'liste reference'!$B$7:$D$904,1,0)),VLOOKUP($A33,'liste reference'!$A$7:$D$904,2,0))</f>
        <v>Ceratophyllum demersum</v>
      </c>
      <c r="E33" s="496" t="e">
        <f aca="false">IF(D33="",0,VLOOKUP(D33,D$22:D32,1,0))</f>
        <v>#N/A</v>
      </c>
      <c r="F33" s="497" t="n">
        <f aca="false">($B33*$B$7+$C33*$C$7)/100</f>
        <v>1.11</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Ceratophyllum demersum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1717</v>
      </c>
      <c r="Q33" s="486" t="n">
        <f aca="false">IF(ISTEXT(H33),"",(B33*$B$7/100)+(C33*$C$7/100))</f>
        <v>1.11</v>
      </c>
      <c r="R33" s="487" t="n">
        <f aca="false">IF(OR(ISTEXT(H33),Q33=0),"",IF(Q33&lt;0.1,1,IF(Q33&lt;1,2,IF(Q33&lt;10,3,IF(Q33&lt;50,4,IF(Q33&gt;=50,5,""))))))</f>
        <v>3</v>
      </c>
      <c r="S33" s="487" t="n">
        <f aca="false">IF(ISERROR(R33*I33),0,R33*I33)</f>
        <v>15</v>
      </c>
      <c r="T33" s="487" t="n">
        <f aca="false">IF(ISERROR(R33*I33*J33),0,R33*I33*J33)</f>
        <v>30</v>
      </c>
      <c r="U33" s="499" t="n">
        <f aca="false">IF(ISERROR(R33*J33),0,R33*J33)</f>
        <v>6</v>
      </c>
      <c r="V33" s="488" t="str">
        <f aca="false">IF(AND(A33="",F33=0),"",IF(F33=0,"Il manque le(s) % de rec. !",""))</f>
        <v/>
      </c>
      <c r="W33" s="489"/>
      <c r="Y33" s="490" t="str">
        <f aca="false">IF(A33="new.cod","NEWCOD",IF(AND((Z33=""),ISTEXT(A33)),A33,IF(Z33="","",INDEX('liste reference'!$A$8:$A$904,Z33))))</f>
        <v>CERDEM</v>
      </c>
      <c r="Z33" s="280" t="n">
        <f aca="false">IF(ISERROR(MATCH(A33,'liste reference'!$A$8:$A$904,0)),IF(ISERROR(MATCH(A33,'liste reference'!$B$8:$B$904,0)),"",(MATCH(A33,'liste reference'!$B$8:$B$904,0))),(MATCH(A33,'liste reference'!$A$8:$A$904,0)))</f>
        <v>330</v>
      </c>
      <c r="AA33" s="491"/>
      <c r="AB33" s="492"/>
      <c r="AC33" s="492"/>
      <c r="BB33" s="280" t="n">
        <f aca="false">IF(A33="","",1)</f>
        <v>1</v>
      </c>
    </row>
    <row r="34" customFormat="false" ht="13.2" hidden="false" customHeight="false" outlineLevel="0" collapsed="false">
      <c r="A34" s="493" t="s">
        <v>1337</v>
      </c>
      <c r="B34" s="494" t="n">
        <v>0.005</v>
      </c>
      <c r="C34" s="495"/>
      <c r="D34" s="477" t="str">
        <f aca="false">IF(ISERROR(VLOOKUP($A34,'liste reference'!$A$7:$D$904,2,0)),IF(ISERROR(VLOOKUP($A34,'liste reference'!$B$7:$D$904,1,0)),"",VLOOKUP($A34,'liste reference'!$B$7:$D$904,1,0)),VLOOKUP($A34,'liste reference'!$A$7:$D$904,2,0))</f>
        <v>Lemna minor</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minor</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1626</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LEMMIN</v>
      </c>
      <c r="Z34" s="280" t="n">
        <f aca="false">IF(ISERROR(MATCH(A34,'liste reference'!$A$8:$A$904,0)),IF(ISERROR(MATCH(A34,'liste reference'!$B$8:$B$904,0)),"",(MATCH(A34,'liste reference'!$B$8:$B$904,0))),(MATCH(A34,'liste reference'!$A$8:$A$904,0)))</f>
        <v>357</v>
      </c>
      <c r="AA34" s="491"/>
      <c r="AB34" s="492"/>
      <c r="AC34" s="492"/>
      <c r="BB34" s="280" t="n">
        <f aca="false">IF(A34="","",1)</f>
        <v>1</v>
      </c>
    </row>
    <row r="35" customFormat="false" ht="13.2" hidden="false" customHeight="false" outlineLevel="0" collapsed="false">
      <c r="A35" s="493" t="s">
        <v>1375</v>
      </c>
      <c r="B35" s="494" t="n">
        <v>0.61</v>
      </c>
      <c r="C35" s="495"/>
      <c r="D35" s="477" t="str">
        <f aca="false">IF(ISERROR(VLOOKUP($A35,'liste reference'!$A$7:$D$904,2,0)),IF(ISERROR(VLOOKUP($A35,'liste reference'!$B$7:$D$904,1,0)),"",VLOOKUP($A35,'liste reference'!$B$7:$D$904,1,0)),VLOOKUP($A35,'liste reference'!$A$7:$D$904,2,0))</f>
        <v>Myriophyllum spicatum</v>
      </c>
      <c r="E35" s="496" t="e">
        <f aca="false">IF(D35="",0,VLOOKUP(D35,D$22:D34,1,0))</f>
        <v>#N/A</v>
      </c>
      <c r="F35" s="501" t="n">
        <f aca="false">($B35*$B$7+$C35*$C$7)/100</f>
        <v>0.61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spicatum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1778</v>
      </c>
      <c r="Q35" s="486" t="n">
        <f aca="false">IF(ISTEXT(H35),"",(B35*$B$7/100)+(C35*$C$7/100))</f>
        <v>0.61</v>
      </c>
      <c r="R35" s="487" t="n">
        <f aca="false">IF(OR(ISTEXT(H35),Q35=0),"",IF(Q35&lt;0.1,1,IF(Q35&lt;1,2,IF(Q35&lt;10,3,IF(Q35&lt;50,4,IF(Q35&gt;=50,5,""))))))</f>
        <v>2</v>
      </c>
      <c r="S35" s="487" t="n">
        <f aca="false">IF(ISERROR(R35*I35),0,R35*I35)</f>
        <v>16</v>
      </c>
      <c r="T35" s="487" t="n">
        <f aca="false">IF(ISERROR(R35*I35*J35),0,R35*I35*J35)</f>
        <v>32</v>
      </c>
      <c r="U35" s="499" t="n">
        <f aca="false">IF(ISERROR(R35*J35),0,R35*J35)</f>
        <v>4</v>
      </c>
      <c r="V35" s="488" t="str">
        <f aca="false">IF(AND(A35="",F35=0),"",IF(F35=0,"Il manque le(s) % de rec. !",""))</f>
        <v/>
      </c>
      <c r="W35" s="489"/>
      <c r="Y35" s="490" t="str">
        <f aca="false">IF(A35="new.cod","NEWCOD",IF(AND((Z35=""),ISTEXT(A35)),A35,IF(Z35="","",INDEX('liste reference'!$A$8:$A$904,Z35))))</f>
        <v>MYRSPI</v>
      </c>
      <c r="Z35" s="280" t="n">
        <f aca="false">IF(ISERROR(MATCH(A35,'liste reference'!$A$8:$A$904,0)),IF(ISERROR(MATCH(A35,'liste reference'!$B$8:$B$904,0)),"",(MATCH(A35,'liste reference'!$B$8:$B$904,0))),(MATCH(A35,'liste reference'!$A$8:$A$904,0)))</f>
        <v>373</v>
      </c>
      <c r="AA35" s="491"/>
      <c r="AB35" s="492"/>
      <c r="AC35" s="492"/>
      <c r="BB35" s="280" t="n">
        <f aca="false">IF(A35="","",1)</f>
        <v>1</v>
      </c>
    </row>
    <row r="36" customFormat="false" ht="13.2" hidden="false" customHeight="false" outlineLevel="0" collapsed="false">
      <c r="A36" s="493" t="s">
        <v>1387</v>
      </c>
      <c r="B36" s="494" t="n">
        <v>2.7</v>
      </c>
      <c r="C36" s="495"/>
      <c r="D36" s="477" t="str">
        <f aca="false">IF(ISERROR(VLOOKUP($A36,'liste reference'!$A$7:$D$904,2,0)),IF(ISERROR(VLOOKUP($A36,'liste reference'!$B$7:$D$904,1,0)),"",VLOOKUP($A36,'liste reference'!$B$7:$D$904,1,0)),VLOOKUP($A36,'liste reference'!$A$7:$D$904,2,0))</f>
        <v>Najas marina</v>
      </c>
      <c r="E36" s="496" t="e">
        <f aca="false">IF(D36="",0,VLOOKUP(D36,D$22:D35,1,0))</f>
        <v>#N/A</v>
      </c>
      <c r="F36" s="501" t="n">
        <f aca="false">($B36*$B$7+$C36*$C$7)/100</f>
        <v>2.7</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5</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Najas marina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1835</v>
      </c>
      <c r="Q36" s="486" t="n">
        <f aca="false">IF(ISTEXT(H36),"",(B36*$B$7/100)+(C36*$C$7/100))</f>
        <v>2.7</v>
      </c>
      <c r="R36" s="487" t="n">
        <f aca="false">IF(OR(ISTEXT(H36),Q36=0),"",IF(Q36&lt;0.1,1,IF(Q36&lt;1,2,IF(Q36&lt;10,3,IF(Q36&lt;50,4,IF(Q36&gt;=50,5,""))))))</f>
        <v>3</v>
      </c>
      <c r="S36" s="487" t="n">
        <f aca="false">IF(ISERROR(R36*I36),0,R36*I36)</f>
        <v>15</v>
      </c>
      <c r="T36" s="487" t="n">
        <f aca="false">IF(ISERROR(R36*I36*J36),0,R36*I36*J36)</f>
        <v>45</v>
      </c>
      <c r="U36" s="499" t="n">
        <f aca="false">IF(ISERROR(R36*J36),0,R36*J36)</f>
        <v>9</v>
      </c>
      <c r="V36" s="488" t="str">
        <f aca="false">IF(AND(A36="",F36=0),"",IF(F36=0,"Il manque le(s) % de rec. !",""))</f>
        <v/>
      </c>
      <c r="W36" s="489"/>
      <c r="Y36" s="490" t="str">
        <f aca="false">IF(A36="new.cod","NEWCOD",IF(AND((Z36=""),ISTEXT(A36)),A36,IF(Z36="","",INDEX('liste reference'!$A$8:$A$904,Z36))))</f>
        <v>NAJMAR</v>
      </c>
      <c r="Z36" s="280" t="n">
        <f aca="false">IF(ISERROR(MATCH(A36,'liste reference'!$A$8:$A$904,0)),IF(ISERROR(MATCH(A36,'liste reference'!$B$8:$B$904,0)),"",(MATCH(A36,'liste reference'!$B$8:$B$904,0))),(MATCH(A36,'liste reference'!$A$8:$A$904,0)))</f>
        <v>379</v>
      </c>
      <c r="AA36" s="491"/>
      <c r="AB36" s="492"/>
      <c r="AC36" s="492"/>
      <c r="BB36" s="280" t="n">
        <f aca="false">IF(A36="","",1)</f>
        <v>1</v>
      </c>
    </row>
    <row r="37" customFormat="false" ht="13.2" hidden="false" customHeight="false" outlineLevel="0" collapsed="false">
      <c r="A37" s="493" t="s">
        <v>1454</v>
      </c>
      <c r="B37" s="494" t="n">
        <v>0.01</v>
      </c>
      <c r="C37" s="495"/>
      <c r="D37" s="477" t="str">
        <f aca="false">IF(ISERROR(VLOOKUP($A37,'liste reference'!$A$7:$D$904,2,0)),IF(ISERROR(VLOOKUP($A37,'liste reference'!$B$7:$D$904,1,0)),"",VLOOKUP($A37,'liste reference'!$B$7:$D$904,1,0)),VLOOKUP($A37,'liste reference'!$A$7:$D$904,2,0))</f>
        <v>Potamogeton crispus</v>
      </c>
      <c r="E37" s="496" t="e">
        <f aca="false">IF(D37="",0,VLOOKUP(D37,D$22:D29,1,0))</f>
        <v>#N/A</v>
      </c>
      <c r="F37" s="501" t="n">
        <f aca="false">($B37*$B$7+$C37*$C$7)/100</f>
        <v>0.01</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7</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crispus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1645</v>
      </c>
      <c r="Q37" s="486" t="n">
        <f aca="false">IF(ISTEXT(H37),"",(B37*$B$7/100)+(C37*$C$7/100))</f>
        <v>0.01</v>
      </c>
      <c r="R37" s="487" t="n">
        <f aca="false">IF(OR(ISTEXT(H37),Q37=0),"",IF(Q37&lt;0.1,1,IF(Q37&lt;1,2,IF(Q37&lt;10,3,IF(Q37&lt;50,4,IF(Q37&gt;=50,5,""))))))</f>
        <v>1</v>
      </c>
      <c r="S37" s="487" t="n">
        <f aca="false">IF(ISERROR(R37*I37),0,R37*I37)</f>
        <v>7</v>
      </c>
      <c r="T37" s="487" t="n">
        <f aca="false">IF(ISERROR(R37*I37*J37),0,R37*I37*J37)</f>
        <v>14</v>
      </c>
      <c r="U37" s="499" t="n">
        <f aca="false">IF(ISERROR(R37*J37),0,R37*J37)</f>
        <v>2</v>
      </c>
      <c r="V37" s="488" t="str">
        <f aca="false">IF(AND(A37="",F37=0),"",IF(F37=0,"Il manque le(s) % de rec. !",""))</f>
        <v/>
      </c>
      <c r="W37" s="489"/>
      <c r="Y37" s="490" t="str">
        <f aca="false">IF(A37="new.cod","NEWCOD",IF(AND((Z37=""),ISTEXT(A37)),A37,IF(Z37="","",INDEX('liste reference'!$A$8:$A$904,Z37))))</f>
        <v>POTCRI</v>
      </c>
      <c r="Z37" s="280" t="n">
        <f aca="false">IF(ISERROR(MATCH(A37,'liste reference'!$A$8:$A$904,0)),IF(ISERROR(MATCH(A37,'liste reference'!$B$8:$B$904,0)),"",(MATCH(A37,'liste reference'!$B$8:$B$904,0))),(MATCH(A37,'liste reference'!$A$8:$A$904,0)))</f>
        <v>409</v>
      </c>
      <c r="AA37" s="491"/>
      <c r="AB37" s="492"/>
      <c r="AC37" s="492"/>
      <c r="BB37" s="280" t="n">
        <f aca="false">IF(A37="","",1)</f>
        <v>1</v>
      </c>
    </row>
    <row r="38" customFormat="false" ht="13.2" hidden="false" customHeight="false" outlineLevel="0" collapsed="false">
      <c r="A38" s="493" t="s">
        <v>1477</v>
      </c>
      <c r="B38" s="494" t="n">
        <v>0.17</v>
      </c>
      <c r="C38" s="495"/>
      <c r="D38" s="477" t="str">
        <f aca="false">IF(ISERROR(VLOOKUP($A38,'liste reference'!$A$7:$D$904,2,0)),IF(ISERROR(VLOOKUP($A38,'liste reference'!$B$7:$D$904,1,0)),"",VLOOKUP($A38,'liste reference'!$B$7:$D$904,1,0)),VLOOKUP($A38,'liste reference'!$A$7:$D$904,2,0))</f>
        <v>Potamogeton nodosus</v>
      </c>
      <c r="E38" s="496" t="e">
        <f aca="false">IF(D38="",0,VLOOKUP(D38,D$22:D37,1,0))</f>
        <v>#N/A</v>
      </c>
      <c r="F38" s="501" t="n">
        <f aca="false">($B38*$B$7+$C38*$C$7)/100</f>
        <v>0.17</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4</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nodosus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1652</v>
      </c>
      <c r="Q38" s="486" t="n">
        <f aca="false">IF(ISTEXT(H38),"",(B38*$B$7/100)+(C38*$C$7/100))</f>
        <v>0.17</v>
      </c>
      <c r="R38" s="487" t="n">
        <f aca="false">IF(OR(ISTEXT(H38),Q38=0),"",IF(Q38&lt;0.1,1,IF(Q38&lt;1,2,IF(Q38&lt;10,3,IF(Q38&lt;50,4,IF(Q38&gt;=50,5,""))))))</f>
        <v>2</v>
      </c>
      <c r="S38" s="487" t="n">
        <f aca="false">IF(ISERROR(R38*I38),0,R38*I38)</f>
        <v>8</v>
      </c>
      <c r="T38" s="487" t="n">
        <f aca="false">IF(ISERROR(R38*I38*J38),0,R38*I38*J38)</f>
        <v>24</v>
      </c>
      <c r="U38" s="499" t="n">
        <f aca="false">IF(ISERROR(R38*J38),0,R38*J38)</f>
        <v>6</v>
      </c>
      <c r="V38" s="488" t="str">
        <f aca="false">IF(AND(A38="",F38=0),"",IF(F38=0,"Il manque le(s) % de rec. !",""))</f>
        <v/>
      </c>
      <c r="W38" s="489"/>
      <c r="Y38" s="490" t="str">
        <f aca="false">IF(A38="new.cod","NEWCOD",IF(AND((Z38=""),ISTEXT(A38)),A38,IF(Z38="","",INDEX('liste reference'!$A$8:$A$904,Z38))))</f>
        <v>POTNOD</v>
      </c>
      <c r="Z38" s="280" t="n">
        <f aca="false">IF(ISERROR(MATCH(A38,'liste reference'!$A$8:$A$904,0)),IF(ISERROR(MATCH(A38,'liste reference'!$B$8:$B$904,0)),"",(MATCH(A38,'liste reference'!$B$8:$B$904,0))),(MATCH(A38,'liste reference'!$A$8:$A$904,0)))</f>
        <v>418</v>
      </c>
      <c r="AA38" s="491"/>
      <c r="AB38" s="492"/>
      <c r="AC38" s="492"/>
      <c r="BB38" s="280" t="n">
        <f aca="false">IF(A38="","",1)</f>
        <v>1</v>
      </c>
    </row>
    <row r="39" customFormat="false" ht="13.2" hidden="false" customHeight="false" outlineLevel="0" collapsed="false">
      <c r="A39" s="493" t="s">
        <v>1487</v>
      </c>
      <c r="B39" s="494" t="n">
        <v>0.005</v>
      </c>
      <c r="C39" s="495"/>
      <c r="D39" s="477" t="str">
        <f aca="false">IF(ISERROR(VLOOKUP($A39,'liste reference'!$A$7:$D$904,2,0)),IF(ISERROR(VLOOKUP($A39,'liste reference'!$B$7:$D$904,1,0)),"",VLOOKUP($A39,'liste reference'!$B$7:$D$904,1,0)),VLOOKUP($A39,'liste reference'!$A$7:$D$904,2,0))</f>
        <v>Potamogeton pectinatus</v>
      </c>
      <c r="E39" s="496" t="e">
        <f aca="false">IF(D39="",0,VLOOKUP(D39,D$22:D38,1,0))</f>
        <v>#N/A</v>
      </c>
      <c r="F39" s="501" t="n">
        <f aca="false">($B39*$B$7+$C39*$C$7)/100</f>
        <v>0.005</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pectinatus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1655</v>
      </c>
      <c r="Q39" s="486" t="n">
        <f aca="false">IF(ISTEXT(H39),"",(B39*$B$7/100)+(C39*$C$7/100))</f>
        <v>0.005</v>
      </c>
      <c r="R39" s="487" t="n">
        <f aca="false">IF(OR(ISTEXT(H39),Q39=0),"",IF(Q39&lt;0.1,1,IF(Q39&lt;1,2,IF(Q39&lt;10,3,IF(Q39&lt;50,4,IF(Q39&gt;=50,5,""))))))</f>
        <v>1</v>
      </c>
      <c r="S39" s="487" t="n">
        <f aca="false">IF(ISERROR(R39*I39),0,R39*I39)</f>
        <v>2</v>
      </c>
      <c r="T39" s="487" t="n">
        <f aca="false">IF(ISERROR(R39*I39*J39),0,R39*I39*J39)</f>
        <v>4</v>
      </c>
      <c r="U39" s="499" t="n">
        <f aca="false">IF(ISERROR(R39*J39),0,R39*J39)</f>
        <v>2</v>
      </c>
      <c r="V39" s="488" t="str">
        <f aca="false">IF(AND(A39="",F39=0),"",IF(F39=0,"Il manque le(s) % de rec. !",""))</f>
        <v/>
      </c>
      <c r="W39" s="489"/>
      <c r="Y39" s="490" t="str">
        <f aca="false">IF(A39="new.cod","NEWCOD",IF(AND((Z39=""),ISTEXT(A39)),A39,IF(Z39="","",INDEX('liste reference'!$A$8:$A$904,Z39))))</f>
        <v>POTPEC</v>
      </c>
      <c r="Z39" s="280" t="n">
        <f aca="false">IF(ISERROR(MATCH(A39,'liste reference'!$A$8:$A$904,0)),IF(ISERROR(MATCH(A39,'liste reference'!$B$8:$B$904,0)),"",(MATCH(A39,'liste reference'!$B$8:$B$904,0))),(MATCH(A39,'liste reference'!$A$8:$A$904,0)))</f>
        <v>421</v>
      </c>
      <c r="AA39" s="491"/>
      <c r="AB39" s="492"/>
      <c r="AC39" s="492"/>
      <c r="BB39" s="280" t="n">
        <f aca="false">IF(A39="","",1)</f>
        <v>1</v>
      </c>
    </row>
    <row r="40" customFormat="false" ht="13.2" hidden="false" customHeight="false" outlineLevel="0" collapsed="false">
      <c r="A40" s="493" t="s">
        <v>1569</v>
      </c>
      <c r="B40" s="494" t="n">
        <v>1.06</v>
      </c>
      <c r="C40" s="495"/>
      <c r="D40" s="477" t="str">
        <f aca="false">IF(ISERROR(VLOOKUP($A40,'liste reference'!$A$7:$D$904,2,0)),IF(ISERROR(VLOOKUP($A40,'liste reference'!$B$7:$D$904,1,0)),"",VLOOKUP($A40,'liste reference'!$B$7:$D$904,1,0)),VLOOKUP($A40,'liste reference'!$A$7:$D$904,2,0))</f>
        <v>Ranunculus fluitans</v>
      </c>
      <c r="E40" s="496" t="e">
        <f aca="false">IF(D40="",0,VLOOKUP(D40,D$22:D39,1,0))</f>
        <v>#N/A</v>
      </c>
      <c r="F40" s="501" t="n">
        <f aca="false">($B40*$B$7+$C40*$C$7)/100</f>
        <v>1.06</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Ranunculus fluitans</v>
      </c>
      <c r="L40" s="498"/>
      <c r="M40" s="498"/>
      <c r="N40" s="498"/>
      <c r="O40" s="484" t="s">
        <v>2684</v>
      </c>
      <c r="P40" s="485" t="n">
        <f aca="false">IF($A40="NEWCOD",IF($AC40="","No",$AC40),IF(ISTEXT($E40),"DEJA SAISI !",IF($A40="","",IF(ISERROR(VLOOKUP($A40,'liste reference'!A:S,19,FALSE())),IF(ISERROR(VLOOKUP($A40,'liste reference'!B:S,19,FALSE())),"",VLOOKUP($A40,'liste reference'!B:S,19,FALSE())),VLOOKUP($A40,'liste reference'!A:S,19,FALSE())))))</f>
        <v>1903</v>
      </c>
      <c r="Q40" s="486" t="n">
        <f aca="false">IF(ISTEXT(H40),"",(B40*$B$7/100)+(C40*$C$7/100))</f>
        <v>1.06</v>
      </c>
      <c r="R40" s="487" t="n">
        <f aca="false">IF(OR(ISTEXT(H40),Q40=0),"",IF(Q40&lt;0.1,1,IF(Q40&lt;1,2,IF(Q40&lt;10,3,IF(Q40&lt;50,4,IF(Q40&gt;=50,5,""))))))</f>
        <v>3</v>
      </c>
      <c r="S40" s="487" t="n">
        <f aca="false">IF(ISERROR(R40*I40),0,R40*I40)</f>
        <v>30</v>
      </c>
      <c r="T40" s="487" t="n">
        <f aca="false">IF(ISERROR(R40*I40*J40),0,R40*I40*J40)</f>
        <v>60</v>
      </c>
      <c r="U40" s="499" t="n">
        <f aca="false">IF(ISERROR(R40*J40),0,R40*J40)</f>
        <v>6</v>
      </c>
      <c r="V40" s="488" t="str">
        <f aca="false">IF(AND(A40="",F40=0),"",IF(F40=0,"Il manque le(s) % de rec. !",""))</f>
        <v/>
      </c>
      <c r="W40" s="489"/>
      <c r="Y40" s="490" t="str">
        <f aca="false">IF(A40="new.cod","NEWCOD",IF(AND((Z40=""),ISTEXT(A40)),A40,IF(Z40="","",INDEX('liste reference'!$A$8:$A$904,Z40))))</f>
        <v>RANFLU</v>
      </c>
      <c r="Z40" s="280" t="n">
        <f aca="false">IF(ISERROR(MATCH(A40,'liste reference'!$A$8:$A$904,0)),IF(ISERROR(MATCH(A40,'liste reference'!$B$8:$B$904,0)),"",(MATCH(A40,'liste reference'!$B$8:$B$904,0))),(MATCH(A40,'liste reference'!$A$8:$A$904,0)))</f>
        <v>456</v>
      </c>
      <c r="AA40" s="491" t="s">
        <v>2684</v>
      </c>
      <c r="AB40" s="492"/>
      <c r="AC40" s="492"/>
      <c r="BB40" s="280" t="n">
        <f aca="false">IF(A40="","",1)</f>
        <v>1</v>
      </c>
    </row>
    <row r="41" customFormat="false" ht="13.2" hidden="false" customHeight="false" outlineLevel="0" collapsed="false">
      <c r="A41" s="493" t="s">
        <v>1641</v>
      </c>
      <c r="B41" s="494" t="n">
        <v>0.1</v>
      </c>
      <c r="C41" s="495"/>
      <c r="D41" s="477" t="str">
        <f aca="false">IF(ISERROR(VLOOKUP($A41,'liste reference'!$A$7:$D$904,2,0)),IF(ISERROR(VLOOKUP($A41,'liste reference'!$B$7:$D$904,1,0)),"",VLOOKUP($A41,'liste reference'!$B$7:$D$904,1,0)),VLOOKUP($A41,'liste reference'!$A$7:$D$904,2,0))</f>
        <v>Spirodela polyrhiza</v>
      </c>
      <c r="E41" s="496" t="e">
        <f aca="false">IF(D41="",0,VLOOKUP(D41,D$21:D40,1,0))</f>
        <v>#N/A</v>
      </c>
      <c r="F41" s="501" t="n">
        <f aca="false">($B41*$B$7+$C41*$C$7)/100</f>
        <v>0.1</v>
      </c>
      <c r="G41" s="479" t="str">
        <f aca="false">IF(A41="","",IF(ISERROR(VLOOKUP($A41,'liste reference'!$A$7:$P$904,13,0)),IF(ISERROR(VLOOKUP($A41,'liste reference'!$B$7:$P$904,12,0)),"    -",VLOOKUP($A41,'liste reference'!$B$7:$P$904,12,0)),VLOOKUP($A41,'liste reference'!$A$7:$P$904,13,0)))</f>
        <v>PHy</v>
      </c>
      <c r="H41" s="480" t="n">
        <f aca="false">IF(A41="","x",IF(ISERROR(VLOOKUP($A41,'liste reference'!$A$8:$P$904,14,0)),IF(ISERROR(VLOOKUP($A41,'liste reference'!$B$8:$P$904,13,0)),"x",VLOOKUP($A41,'liste reference'!$B$8:$P$904,13,0)),VLOOKUP($A41,'liste reference'!$A$8:$P$904,14,0)))</f>
        <v>7</v>
      </c>
      <c r="I41" s="481" t="n">
        <f aca="false">IF(ISNUMBER(H41),IF(ISERROR(VLOOKUP($A41,'liste reference'!$A$7:$P$904,3,0)),IF(ISERROR(VLOOKUP($A41,'liste reference'!$B$7:$P$904,2,0)),"",VLOOKUP($A41,'liste reference'!$B$7:$P$904,2,0)),VLOOKUP($A41,'liste reference'!$A$7:$P$904,3,0)),"")</f>
        <v>6</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Spirodela polyrhiza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1630</v>
      </c>
      <c r="Q41" s="486" t="n">
        <f aca="false">IF(ISTEXT(H41),"",(B41*$B$7/100)+(C41*$C$7/100))</f>
        <v>0.1</v>
      </c>
      <c r="R41" s="487" t="n">
        <f aca="false">IF(OR(ISTEXT(H41),Q41=0),"",IF(Q41&lt;0.1,1,IF(Q41&lt;1,2,IF(Q41&lt;10,3,IF(Q41&lt;50,4,IF(Q41&gt;=50,5,""))))))</f>
        <v>2</v>
      </c>
      <c r="S41" s="487" t="n">
        <f aca="false">IF(ISERROR(R41*I41),0,R41*I41)</f>
        <v>12</v>
      </c>
      <c r="T41" s="487" t="n">
        <f aca="false">IF(ISERROR(R41*I41*J41),0,R41*I41*J41)</f>
        <v>24</v>
      </c>
      <c r="U41" s="499" t="n">
        <f aca="false">IF(ISERROR(R41*J41),0,R41*J41)</f>
        <v>4</v>
      </c>
      <c r="V41" s="488" t="str">
        <f aca="false">IF(AND(A41="",F41=0),"",IF(F41=0,"Il manque le(s) % de rec. !",""))</f>
        <v/>
      </c>
      <c r="W41" s="489"/>
      <c r="X41" s="502"/>
      <c r="Y41" s="490" t="str">
        <f aca="false">IF(A41="new.cod","NEWCOD",IF(AND((Z41=""),ISTEXT(A41)),A41,IF(Z41="","",INDEX('liste reference'!$A$8:$A$904,Z41))))</f>
        <v>SPRPOL</v>
      </c>
      <c r="Z41" s="280" t="n">
        <f aca="false">IF(ISERROR(MATCH(A41,'liste reference'!$A$8:$A$904,0)),IF(ISERROR(MATCH(A41,'liste reference'!$B$8:$B$904,0)),"",(MATCH(A41,'liste reference'!$B$8:$B$904,0))),(MATCH(A41,'liste reference'!$A$8:$A$904,0)))</f>
        <v>485</v>
      </c>
      <c r="AA41" s="491"/>
      <c r="AB41" s="492"/>
      <c r="AC41" s="492"/>
      <c r="BB41" s="280" t="n">
        <f aca="false">IF(A41="","",1)</f>
        <v>1</v>
      </c>
    </row>
    <row r="42" customFormat="false" ht="13.2" hidden="false" customHeight="false" outlineLevel="0" collapsed="false">
      <c r="A42" s="493" t="s">
        <v>1671</v>
      </c>
      <c r="B42" s="494" t="n">
        <v>0.24</v>
      </c>
      <c r="C42" s="495"/>
      <c r="D42" s="477" t="str">
        <f aca="false">IF(ISERROR(VLOOKUP($A42,'liste reference'!$A$7:$D$904,2,0)),IF(ISERROR(VLOOKUP($A42,'liste reference'!$B$7:$D$904,1,0)),"",VLOOKUP($A42,'liste reference'!$B$7:$D$904,1,0)),VLOOKUP($A42,'liste reference'!$A$7:$D$904,2,0))</f>
        <v>Vallisneria spiralis</v>
      </c>
      <c r="E42" s="496" t="e">
        <f aca="false">IF(D42="",0,VLOOKUP(D42,D$22:D41,1,0))</f>
        <v>#N/A</v>
      </c>
      <c r="F42" s="501" t="n">
        <f aca="false">($B42*$B$7+$C42*$C$7)/100</f>
        <v>0.24</v>
      </c>
      <c r="G42" s="479" t="str">
        <f aca="false">IF(A42="","",IF(ISERROR(VLOOKUP($A42,'liste reference'!$A$7:$P$904,13,0)),IF(ISERROR(VLOOKUP($A42,'liste reference'!$B$7:$P$904,12,0)),"    -",VLOOKUP($A42,'liste reference'!$B$7:$P$904,12,0)),VLOOKUP($A42,'liste reference'!$A$7:$P$904,13,0)))</f>
        <v>PHy</v>
      </c>
      <c r="H42" s="480" t="n">
        <f aca="false">IF(A42="","x",IF(ISERROR(VLOOKUP($A42,'liste reference'!$A$8:$P$904,14,0)),IF(ISERROR(VLOOKUP($A42,'liste reference'!$B$8:$P$904,13,0)),"x",VLOOKUP($A42,'liste reference'!$B$8:$P$904,13,0)),VLOOKUP($A42,'liste reference'!$A$8:$P$904,14,0)))</f>
        <v>7</v>
      </c>
      <c r="I42" s="481" t="n">
        <f aca="false">IF(ISNUMBER(H42),IF(ISERROR(VLOOKUP($A42,'liste reference'!$A$7:$P$904,3,0)),IF(ISERROR(VLOOKUP($A42,'liste reference'!$B$7:$P$904,2,0)),"",VLOOKUP($A42,'liste reference'!$B$7:$P$904,2,0)),VLOOKUP($A42,'liste reference'!$A$7:$P$904,3,0)),"")</f>
        <v>8</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Vallisneria spiralis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1598</v>
      </c>
      <c r="Q42" s="486" t="n">
        <f aca="false">IF(ISTEXT(H42),"",(B42*$B$7/100)+(C42*$C$7/100))</f>
        <v>0.24</v>
      </c>
      <c r="R42" s="487" t="n">
        <f aca="false">IF(OR(ISTEXT(H42),Q42=0),"",IF(Q42&lt;0.1,1,IF(Q42&lt;1,2,IF(Q42&lt;10,3,IF(Q42&lt;50,4,IF(Q42&gt;=50,5,""))))))</f>
        <v>2</v>
      </c>
      <c r="S42" s="487" t="n">
        <f aca="false">IF(ISERROR(R42*I42),0,R42*I42)</f>
        <v>16</v>
      </c>
      <c r="T42" s="487" t="n">
        <f aca="false">IF(ISERROR(R42*I42*J42),0,R42*I42*J42)</f>
        <v>32</v>
      </c>
      <c r="U42" s="499" t="n">
        <f aca="false">IF(ISERROR(R42*J42),0,R42*J42)</f>
        <v>4</v>
      </c>
      <c r="V42" s="488" t="str">
        <f aca="false">IF(AND(A42="",F42=0),"",IF(F42=0,"Il manque le(s) % de rec. !",""))</f>
        <v/>
      </c>
      <c r="W42" s="489"/>
      <c r="Y42" s="490" t="str">
        <f aca="false">IF(A42="new.cod","NEWCOD",IF(AND((Z42=""),ISTEXT(A42)),A42,IF(Z42="","",INDEX('liste reference'!$A$8:$A$904,Z42))))</f>
        <v>VALSPI</v>
      </c>
      <c r="Z42" s="280" t="n">
        <f aca="false">IF(ISERROR(MATCH(A42,'liste reference'!$A$8:$A$904,0)),IF(ISERROR(MATCH(A42,'liste reference'!$B$8:$B$904,0)),"",(MATCH(A42,'liste reference'!$B$8:$B$904,0))),(MATCH(A42,'liste reference'!$A$8:$A$904,0)))</f>
        <v>498</v>
      </c>
      <c r="AA42" s="491"/>
      <c r="AB42" s="492"/>
      <c r="AC42" s="492"/>
      <c r="BB42" s="280" t="n">
        <f aca="false">IF(A42="","",1)</f>
        <v>1</v>
      </c>
    </row>
    <row r="43" customFormat="false" ht="13.2" hidden="false" customHeight="false" outlineLevel="0" collapsed="false">
      <c r="A43" s="493" t="s">
        <v>1708</v>
      </c>
      <c r="B43" s="494" t="n">
        <v>0.005</v>
      </c>
      <c r="C43" s="495"/>
      <c r="D43" s="477" t="str">
        <f aca="false">IF(ISERROR(VLOOKUP($A43,'liste reference'!$A$7:$D$904,2,0)),IF(ISERROR(VLOOKUP($A43,'liste reference'!$B$7:$D$904,1,0)),"",VLOOKUP($A43,'liste reference'!$B$7:$D$904,1,0)),VLOOKUP($A43,'liste reference'!$A$7:$D$904,2,0))</f>
        <v>Agrostis stolonifera</v>
      </c>
      <c r="E43" s="496" t="e">
        <f aca="false">IF(D43="",0,VLOOKUP(D43,D$22:D42,1,0))</f>
        <v>#N/A</v>
      </c>
      <c r="F43" s="501"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Agrostis stolonifera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1543</v>
      </c>
      <c r="Q43" s="486" t="n">
        <f aca="false">IF(ISTEXT(H43),"",(B43*$B$7/100)+(C43*$C$7/100))</f>
        <v>0.005</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IF(A43="new.cod","NEWCOD",IF(AND((Z43=""),ISTEXT(A43)),A43,IF(Z43="","",INDEX('liste reference'!$A$8:$A$904,Z43))))</f>
        <v>AGRSTO</v>
      </c>
      <c r="Z43" s="280" t="n">
        <f aca="false">IF(ISERROR(MATCH(A43,'liste reference'!$A$8:$A$904,0)),IF(ISERROR(MATCH(A43,'liste reference'!$B$8:$B$904,0)),"",(MATCH(A43,'liste reference'!$B$8:$B$904,0))),(MATCH(A43,'liste reference'!$A$8:$A$904,0)))</f>
        <v>514</v>
      </c>
      <c r="AA43" s="491"/>
      <c r="AB43" s="492"/>
      <c r="AC43" s="492"/>
      <c r="BB43" s="280" t="n">
        <f aca="false">IF(A43="","",1)</f>
        <v>1</v>
      </c>
    </row>
    <row r="44" customFormat="false" ht="13.2" hidden="false" customHeight="false" outlineLevel="0" collapsed="false">
      <c r="A44" s="493" t="s">
        <v>1815</v>
      </c>
      <c r="B44" s="494" t="n">
        <v>0.02</v>
      </c>
      <c r="C44" s="495"/>
      <c r="D44" s="477" t="str">
        <f aca="false">IF(ISERROR(VLOOKUP($A44,'liste reference'!$A$7:$D$904,2,0)),IF(ISERROR(VLOOKUP($A44,'liste reference'!$B$7:$D$904,1,0)),"",VLOOKUP($A44,'liste reference'!$B$7:$D$904,1,0)),VLOOKUP($A44,'liste reference'!$A$7:$D$904,2,0))</f>
        <v>Cyperus fuscus</v>
      </c>
      <c r="E44" s="496" t="e">
        <f aca="false">IF(D44="",0,VLOOKUP(D44,D$22:D43,1,0))</f>
        <v>#N/A</v>
      </c>
      <c r="F44" s="501" t="n">
        <f aca="false">($B44*$B$7+$C44*$C$7)/100</f>
        <v>0.02</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Cyperus fuscus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1499</v>
      </c>
      <c r="Q44" s="486" t="n">
        <f aca="false">IF(ISTEXT(H44),"",(B44*$B$7/100)+(C44*$C$7/100))</f>
        <v>0.02</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CYPFUS</v>
      </c>
      <c r="Z44" s="280" t="n">
        <f aca="false">IF(ISERROR(MATCH(A44,'liste reference'!$A$8:$A$904,0)),IF(ISERROR(MATCH(A44,'liste reference'!$B$8:$B$904,0)),"",(MATCH(A44,'liste reference'!$B$8:$B$904,0))),(MATCH(A44,'liste reference'!$A$8:$A$904,0)))</f>
        <v>555</v>
      </c>
      <c r="AA44" s="491"/>
      <c r="AB44" s="492"/>
      <c r="AC44" s="492"/>
      <c r="BB44" s="280" t="n">
        <f aca="false">IF(A44="","",1)</f>
        <v>1</v>
      </c>
    </row>
    <row r="45" customFormat="false" ht="13.2" hidden="false" customHeight="false" outlineLevel="0" collapsed="false">
      <c r="A45" s="493" t="s">
        <v>1908</v>
      </c>
      <c r="B45" s="494" t="n">
        <v>0.66</v>
      </c>
      <c r="C45" s="495"/>
      <c r="D45" s="477" t="str">
        <f aca="false">IF(ISERROR(VLOOKUP($A45,'liste reference'!$A$7:$D$904,2,0)),IF(ISERROR(VLOOKUP($A45,'liste reference'!$B$7:$D$904,1,0)),"",VLOOKUP($A45,'liste reference'!$B$7:$D$904,1,0)),VLOOKUP($A45,'liste reference'!$A$7:$D$904,2,0))</f>
        <v>Ludwigia peploides</v>
      </c>
      <c r="E45" s="496" t="e">
        <f aca="false">IF(D45="",0,VLOOKUP(D45,D$22:D38,1,0))</f>
        <v>#N/A</v>
      </c>
      <c r="F45" s="501" t="n">
        <f aca="false">($B45*$B$7+$C45*$C$7)/100</f>
        <v>0.66</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Ludwigia peploides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1856</v>
      </c>
      <c r="Q45" s="486" t="n">
        <f aca="false">IF(ISTEXT(H45),"",(B45*$B$7/100)+(C45*$C$7/100))</f>
        <v>0.66</v>
      </c>
      <c r="R45" s="487" t="n">
        <f aca="false">IF(OR(ISTEXT(H45),Q45=0),"",IF(Q45&lt;0.1,1,IF(Q45&lt;1,2,IF(Q45&lt;10,3,IF(Q45&lt;50,4,IF(Q45&gt;=50,5,""))))))</f>
        <v>2</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LUDPEP</v>
      </c>
      <c r="Z45" s="280" t="n">
        <f aca="false">IF(ISERROR(MATCH(A45,'liste reference'!$A$8:$A$904,0)),IF(ISERROR(MATCH(A45,'liste reference'!$B$8:$B$904,0)),"",(MATCH(A45,'liste reference'!$B$8:$B$904,0))),(MATCH(A45,'liste reference'!$A$8:$A$904,0)))</f>
        <v>594</v>
      </c>
      <c r="AA45" s="491"/>
      <c r="AB45" s="492"/>
      <c r="AC45" s="492"/>
      <c r="BB45" s="280" t="n">
        <f aca="false">IF(A45="","",1)</f>
        <v>1</v>
      </c>
    </row>
    <row r="46" customFormat="false" ht="13.2" hidden="false" customHeight="false" outlineLevel="0" collapsed="false">
      <c r="A46" s="493" t="s">
        <v>1913</v>
      </c>
      <c r="B46" s="494" t="n">
        <v>0.005</v>
      </c>
      <c r="C46" s="495"/>
      <c r="D46" s="477" t="str">
        <f aca="false">IF(ISERROR(VLOOKUP($A46,'liste reference'!$A$7:$D$904,2,0)),IF(ISERROR(VLOOKUP($A46,'liste reference'!$B$7:$D$904,1,0)),"",VLOOKUP($A46,'liste reference'!$B$7:$D$904,1,0)),VLOOKUP($A46,'liste reference'!$A$7:$D$904,2,0))</f>
        <v>Lycopus europaeus</v>
      </c>
      <c r="E46" s="496" t="e">
        <f aca="false">IF(D46="",0,VLOOKUP(D46,D$22:D45,1,0))</f>
        <v>#N/A</v>
      </c>
      <c r="F46" s="501" t="n">
        <f aca="false">($B46*$B$7+$C46*$C$7)/100</f>
        <v>0.005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11</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Lycopus europaeus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1789</v>
      </c>
      <c r="Q46" s="486" t="n">
        <f aca="false">IF(ISTEXT(H46),"",(B46*$B$7/100)+(C46*$C$7/100))</f>
        <v>0.005</v>
      </c>
      <c r="R46" s="487" t="n">
        <f aca="false">IF(OR(ISTEXT(H46),Q46=0),"",IF(Q46&lt;0.1,1,IF(Q46&lt;1,2,IF(Q46&lt;10,3,IF(Q46&lt;50,4,IF(Q46&gt;=50,5,""))))))</f>
        <v>1</v>
      </c>
      <c r="S46" s="487" t="n">
        <f aca="false">IF(ISERROR(R46*I46),0,R46*I46)</f>
        <v>11</v>
      </c>
      <c r="T46" s="487" t="n">
        <f aca="false">IF(ISERROR(R46*I46*J46),0,R46*I46*J46)</f>
        <v>11</v>
      </c>
      <c r="U46" s="499" t="n">
        <f aca="false">IF(ISERROR(R46*J46),0,R46*J46)</f>
        <v>1</v>
      </c>
      <c r="V46" s="488" t="str">
        <f aca="false">IF(AND(A46="",F46=0),"",IF(F46=0,"Il manque le(s) % de rec. !",""))</f>
        <v/>
      </c>
      <c r="W46" s="489"/>
      <c r="Y46" s="490" t="str">
        <f aca="false">IF(A46="new.cod","NEWCOD",IF(AND((Z46=""),ISTEXT(A46)),A46,IF(Z46="","",INDEX('liste reference'!$A$8:$A$904,Z46))))</f>
        <v>LYCEUR</v>
      </c>
      <c r="Z46" s="280" t="n">
        <f aca="false">IF(ISERROR(MATCH(A46,'liste reference'!$A$8:$A$904,0)),IF(ISERROR(MATCH(A46,'liste reference'!$B$8:$B$904,0)),"",(MATCH(A46,'liste reference'!$B$8:$B$904,0))),(MATCH(A46,'liste reference'!$A$8:$A$904,0)))</f>
        <v>596</v>
      </c>
      <c r="AA46" s="491"/>
      <c r="AB46" s="492"/>
      <c r="AC46" s="492"/>
      <c r="BB46" s="280" t="n">
        <f aca="false">IF(A46="","",1)</f>
        <v>1</v>
      </c>
    </row>
    <row r="47" customFormat="false" ht="13.2" hidden="false" customHeight="false" outlineLevel="0" collapsed="false">
      <c r="A47" s="493" t="s">
        <v>1932</v>
      </c>
      <c r="B47" s="494" t="n">
        <v>0.005</v>
      </c>
      <c r="C47" s="495"/>
      <c r="D47" s="477" t="str">
        <f aca="false">IF(ISERROR(VLOOKUP($A47,'liste reference'!$A$7:$D$904,2,0)),IF(ISERROR(VLOOKUP($A47,'liste reference'!$B$7:$D$904,1,0)),"",VLOOKUP($A47,'liste reference'!$B$7:$D$904,1,0)),VLOOKUP($A47,'liste reference'!$A$7:$D$904,2,0))</f>
        <v>Lythrum salicaria</v>
      </c>
      <c r="E47" s="496" t="e">
        <f aca="false">IF(D47="",0,VLOOKUP(D47,D$22:D46,1,0))</f>
        <v>#N/A</v>
      </c>
      <c r="F47" s="501" t="n">
        <f aca="false">($B47*$B$7+$C47*$C$7)/100</f>
        <v>0.005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Lythrum salicaria</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1823</v>
      </c>
      <c r="Q47" s="486" t="n">
        <f aca="false">IF(ISTEXT(H47),"",(B47*$B$7/100)+(C47*$C$7/100))</f>
        <v>0.005</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LYTSAL</v>
      </c>
      <c r="Z47" s="280" t="n">
        <f aca="false">IF(ISERROR(MATCH(A47,'liste reference'!$A$8:$A$904,0)),IF(ISERROR(MATCH(A47,'liste reference'!$B$8:$B$904,0)),"",(MATCH(A47,'liste reference'!$B$8:$B$904,0))),(MATCH(A47,'liste reference'!$A$8:$A$904,0)))</f>
        <v>605</v>
      </c>
      <c r="AA47" s="491"/>
      <c r="AB47" s="492"/>
      <c r="AC47" s="492"/>
      <c r="BB47" s="280" t="n">
        <f aca="false">IF(A47="","",1)</f>
        <v>1</v>
      </c>
    </row>
    <row r="48" customFormat="false" ht="13.2" hidden="false" customHeight="false" outlineLevel="0" collapsed="false">
      <c r="A48" s="493" t="s">
        <v>1936</v>
      </c>
      <c r="B48" s="494" t="n">
        <v>0.005</v>
      </c>
      <c r="C48" s="495"/>
      <c r="D48" s="477" t="str">
        <f aca="false">IF(ISERROR(VLOOKUP($A48,'liste reference'!$A$7:$D$904,2,0)),IF(ISERROR(VLOOKUP($A48,'liste reference'!$B$7:$D$904,1,0)),"",VLOOKUP($A48,'liste reference'!$B$7:$D$904,1,0)),VLOOKUP($A48,'liste reference'!$A$7:$D$904,2,0))</f>
        <v>Mentha aquatica</v>
      </c>
      <c r="E48" s="496" t="e">
        <f aca="false">IF(D48="",0,VLOOKUP(D48,D$22:D47,1,0))</f>
        <v>#N/A</v>
      </c>
      <c r="F48" s="501" t="n">
        <f aca="false">($B48*$B$7+$C48*$C$7)/100</f>
        <v>0.005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12</v>
      </c>
      <c r="J48" s="481" t="n">
        <f aca="false">IF(ISNUMBER(H48),IF(ISERROR(VLOOKUP($A48,'liste reference'!$A$7:$P$904,4,0)),IF(ISERROR(VLOOKUP($A48,'liste reference'!$B$7:$P$904,3,0)),"",VLOOKUP($A48,'liste reference'!$B$7:$P$904,3,0)),VLOOKUP($A48,'liste reference'!$A$7:$P$904,4,0)),"")</f>
        <v>1</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Mentha aquatica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1791</v>
      </c>
      <c r="Q48" s="486" t="n">
        <f aca="false">IF(ISTEXT(H48),"",(B48*$B$7/100)+(C48*$C$7/100))</f>
        <v>0.005</v>
      </c>
      <c r="R48" s="487" t="n">
        <f aca="false">IF(OR(ISTEXT(H48),Q48=0),"",IF(Q48&lt;0.1,1,IF(Q48&lt;1,2,IF(Q48&lt;10,3,IF(Q48&lt;50,4,IF(Q48&gt;=50,5,""))))))</f>
        <v>1</v>
      </c>
      <c r="S48" s="487" t="n">
        <f aca="false">IF(ISERROR(R48*I48),0,R48*I48)</f>
        <v>12</v>
      </c>
      <c r="T48" s="487" t="n">
        <f aca="false">IF(ISERROR(R48*I48*J48),0,R48*I48*J48)</f>
        <v>12</v>
      </c>
      <c r="U48" s="499" t="n">
        <f aca="false">IF(ISERROR(R48*J48),0,R48*J48)</f>
        <v>1</v>
      </c>
      <c r="V48" s="488" t="str">
        <f aca="false">IF(AND(A48="",F48=0),"",IF(F48=0,"Il manque le(s) % de rec. !",""))</f>
        <v/>
      </c>
      <c r="W48" s="489"/>
      <c r="Y48" s="490" t="str">
        <f aca="false">IF(A48="new.cod","NEWCOD",IF(AND((Z48=""),ISTEXT(A48)),A48,IF(Z48="","",INDEX('liste reference'!$A$8:$A$904,Z48))))</f>
        <v>MENAQU</v>
      </c>
      <c r="Z48" s="280" t="n">
        <f aca="false">IF(ISERROR(MATCH(A48,'liste reference'!$A$8:$A$904,0)),IF(ISERROR(MATCH(A48,'liste reference'!$B$8:$B$904,0)),"",(MATCH(A48,'liste reference'!$B$8:$B$904,0))),(MATCH(A48,'liste reference'!$A$8:$A$904,0)))</f>
        <v>607</v>
      </c>
      <c r="AA48" s="491"/>
      <c r="AB48" s="492"/>
      <c r="AC48" s="492"/>
      <c r="BB48" s="280" t="n">
        <f aca="false">IF(A48="","",1)</f>
        <v>1</v>
      </c>
    </row>
    <row r="49" customFormat="false" ht="13.2" hidden="false" customHeight="false" outlineLevel="0" collapsed="false">
      <c r="A49" s="493" t="s">
        <v>1984</v>
      </c>
      <c r="B49" s="494" t="n">
        <v>0.005</v>
      </c>
      <c r="C49" s="495"/>
      <c r="D49" s="477" t="str">
        <f aca="false">IF(ISERROR(VLOOKUP($A49,'liste reference'!$A$7:$D$904,2,0)),IF(ISERROR(VLOOKUP($A49,'liste reference'!$B$7:$D$904,1,0)),"",VLOOKUP($A49,'liste reference'!$B$7:$D$904,1,0)),VLOOKUP($A49,'liste reference'!$A$7:$D$904,2,0))</f>
        <v>Nasturtium officinale</v>
      </c>
      <c r="E49" s="496" t="e">
        <f aca="false">IF(D49="",0,VLOOKUP(D49,D$22:D48,1,0))</f>
        <v>#N/A</v>
      </c>
      <c r="F49" s="501" t="n">
        <f aca="false">($B49*$B$7+$C49*$C$7)/100</f>
        <v>0.005</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1</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Nasturtium officinale</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1763</v>
      </c>
      <c r="Q49" s="486" t="n">
        <f aca="false">IF(ISTEXT(H49),"",(B49*$B$7/100)+(C49*$C$7/100))</f>
        <v>0.005</v>
      </c>
      <c r="R49" s="487" t="n">
        <f aca="false">IF(OR(ISTEXT(H49),Q49=0),"",IF(Q49&lt;0.1,1,IF(Q49&lt;1,2,IF(Q49&lt;10,3,IF(Q49&lt;50,4,IF(Q49&gt;=50,5,""))))))</f>
        <v>1</v>
      </c>
      <c r="S49" s="487" t="n">
        <f aca="false">IF(ISERROR(R49*I49),0,R49*I49)</f>
        <v>11</v>
      </c>
      <c r="T49" s="487" t="n">
        <f aca="false">IF(ISERROR(R49*I49*J49),0,R49*I49*J49)</f>
        <v>11</v>
      </c>
      <c r="U49" s="499" t="n">
        <f aca="false">IF(ISERROR(R49*J49),0,R49*J49)</f>
        <v>1</v>
      </c>
      <c r="V49" s="488" t="str">
        <f aca="false">IF(AND(A49="",F49=0),"",IF(F49=0,"Il manque le(s) % de rec. !",""))</f>
        <v/>
      </c>
      <c r="W49" s="489"/>
      <c r="Y49" s="490" t="str">
        <f aca="false">IF(A49="new.cod","NEWCOD",IF(AND((Z49=""),ISTEXT(A49)),A49,IF(Z49="","",INDEX('liste reference'!$A$8:$A$904,Z49))))</f>
        <v>NASOFF</v>
      </c>
      <c r="Z49" s="280" t="n">
        <f aca="false">IF(ISERROR(MATCH(A49,'liste reference'!$A$8:$A$904,0)),IF(ISERROR(MATCH(A49,'liste reference'!$B$8:$B$904,0)),"",(MATCH(A49,'liste reference'!$B$8:$B$904,0))),(MATCH(A49,'liste reference'!$A$8:$A$904,0)))</f>
        <v>628</v>
      </c>
      <c r="AA49" s="491"/>
      <c r="AB49" s="492"/>
      <c r="AC49" s="492"/>
      <c r="BB49" s="280" t="n">
        <f aca="false">IF(A49="","",1)</f>
        <v>1</v>
      </c>
    </row>
    <row r="50" customFormat="false" ht="13.2" hidden="false" customHeight="false" outlineLevel="0" collapsed="false">
      <c r="A50" s="493" t="s">
        <v>2000</v>
      </c>
      <c r="B50" s="494" t="n">
        <v>0.005</v>
      </c>
      <c r="C50" s="495"/>
      <c r="D50" s="477" t="str">
        <f aca="false">IF(ISERROR(VLOOKUP($A50,'liste reference'!$A$7:$D$904,2,0)),IF(ISERROR(VLOOKUP($A50,'liste reference'!$B$7:$D$904,1,0)),"",VLOOKUP($A50,'liste reference'!$B$7:$D$904,1,0)),VLOOKUP($A50,'liste reference'!$A$7:$D$904,2,0))</f>
        <v>Phalaris arundinacea</v>
      </c>
      <c r="E50" s="496" t="e">
        <f aca="false">IF(D50="",0,VLOOKUP(D50,D$22:D49,1,0))</f>
        <v>#N/A</v>
      </c>
      <c r="F50" s="501" t="n">
        <f aca="false">($B50*$B$7+$C50*$C$7)/100</f>
        <v>0.005</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10</v>
      </c>
      <c r="J50" s="481" t="n">
        <f aca="false">IF(ISNUMBER(H50),IF(ISERROR(VLOOKUP($A50,'liste reference'!$A$7:$P$904,4,0)),IF(ISERROR(VLOOKUP($A50,'liste reference'!$B$7:$P$904,3,0)),"",VLOOKUP($A50,'liste reference'!$B$7:$P$904,3,0)),VLOOKUP($A50,'liste reference'!$A$7:$P$904,4,0)),"")</f>
        <v>1</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Phalaris arundinacea</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1577</v>
      </c>
      <c r="Q50" s="486" t="n">
        <f aca="false">IF(ISTEXT(H50),"",(B50*$B$7/100)+(C50*$C$7/100))</f>
        <v>0.005</v>
      </c>
      <c r="R50" s="487" t="n">
        <f aca="false">IF(OR(ISTEXT(H50),Q50=0),"",IF(Q50&lt;0.1,1,IF(Q50&lt;1,2,IF(Q50&lt;10,3,IF(Q50&lt;50,4,IF(Q50&gt;=50,5,""))))))</f>
        <v>1</v>
      </c>
      <c r="S50" s="487" t="n">
        <f aca="false">IF(ISERROR(R50*I50),0,R50*I50)</f>
        <v>10</v>
      </c>
      <c r="T50" s="487" t="n">
        <f aca="false">IF(ISERROR(R50*I50*J50),0,R50*I50*J50)</f>
        <v>10</v>
      </c>
      <c r="U50" s="499" t="n">
        <f aca="false">IF(ISERROR(R50*J50),0,R50*J50)</f>
        <v>1</v>
      </c>
      <c r="V50" s="488" t="str">
        <f aca="false">IF(AND(A50="",F50=0),"",IF(F50=0,"Il manque le(s) % de rec. !",""))</f>
        <v/>
      </c>
      <c r="W50" s="489"/>
      <c r="Y50" s="490" t="str">
        <f aca="false">IF(A50="new.cod","NEWCOD",IF(AND((Z50=""),ISTEXT(A50)),A50,IF(Z50="","",INDEX('liste reference'!$A$8:$A$904,Z50))))</f>
        <v>PHAARU</v>
      </c>
      <c r="Z50" s="280" t="n">
        <f aca="false">IF(ISERROR(MATCH(A50,'liste reference'!$A$8:$A$904,0)),IF(ISERROR(MATCH(A50,'liste reference'!$B$8:$B$904,0)),"",(MATCH(A50,'liste reference'!$B$8:$B$904,0))),(MATCH(A50,'liste reference'!$A$8:$A$904,0)))</f>
        <v>634</v>
      </c>
      <c r="AA50" s="491"/>
      <c r="AB50" s="492"/>
      <c r="AC50" s="492"/>
      <c r="BB50" s="280" t="n">
        <f aca="false">IF(A50="","",1)</f>
        <v>1</v>
      </c>
    </row>
    <row r="51" customFormat="false" ht="13.2" hidden="false" customHeight="false" outlineLevel="0" collapsed="false">
      <c r="A51" s="493" t="s">
        <v>2009</v>
      </c>
      <c r="B51" s="494" t="n">
        <v>0.005</v>
      </c>
      <c r="C51" s="495"/>
      <c r="D51" s="477" t="str">
        <f aca="false">IF(ISERROR(VLOOKUP($A51,'liste reference'!$A$7:$D$904,2,0)),IF(ISERROR(VLOOKUP($A51,'liste reference'!$B$7:$D$904,1,0)),"",VLOOKUP($A51,'liste reference'!$B$7:$D$904,1,0)),VLOOKUP($A51,'liste reference'!$A$7:$D$904,2,0))</f>
        <v>Polygonum hydropiper</v>
      </c>
      <c r="E51" s="496" t="e">
        <f aca="false">IF(D51="",0,VLOOKUP(D51,D$22:D50,1,0))</f>
        <v>#N/A</v>
      </c>
      <c r="F51" s="501" t="n">
        <f aca="false">($B51*$B$7+$C51*$C$7)/100</f>
        <v>0.005</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8</v>
      </c>
      <c r="J51" s="481" t="n">
        <f aca="false">IF(ISNUMBER(H51),IF(ISERROR(VLOOKUP($A51,'liste reference'!$A$7:$P$904,4,0)),IF(ISERROR(VLOOKUP($A51,'liste reference'!$B$7:$P$904,3,0)),"",VLOOKUP($A51,'liste reference'!$B$7:$P$904,3,0)),VLOOKUP($A51,'liste reference'!$A$7:$P$904,4,0)),"")</f>
        <v>2</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Polygonum hydropiper</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1865</v>
      </c>
      <c r="Q51" s="486" t="n">
        <f aca="false">IF(ISTEXT(H51),"",(B51*$B$7/100)+(C51*$C$7/100))</f>
        <v>0.005</v>
      </c>
      <c r="R51" s="487" t="n">
        <f aca="false">IF(OR(ISTEXT(H51),Q51=0),"",IF(Q51&lt;0.1,1,IF(Q51&lt;1,2,IF(Q51&lt;10,3,IF(Q51&lt;50,4,IF(Q51&gt;=50,5,""))))))</f>
        <v>1</v>
      </c>
      <c r="S51" s="487" t="n">
        <f aca="false">IF(ISERROR(R51*I51),0,R51*I51)</f>
        <v>8</v>
      </c>
      <c r="T51" s="487" t="n">
        <f aca="false">IF(ISERROR(R51*I51*J51),0,R51*I51*J51)</f>
        <v>16</v>
      </c>
      <c r="U51" s="499" t="n">
        <f aca="false">IF(ISERROR(R51*J51),0,R51*J51)</f>
        <v>2</v>
      </c>
      <c r="V51" s="488" t="str">
        <f aca="false">IF(AND(A51="",F51=0),"",IF(F51=0,"Il manque le(s) % de rec. !",""))</f>
        <v/>
      </c>
      <c r="W51" s="489"/>
      <c r="Y51" s="490" t="str">
        <f aca="false">IF(A51="new.cod","NEWCOD",IF(AND((Z51=""),ISTEXT(A51)),A51,IF(Z51="","",INDEX('liste reference'!$A$8:$A$904,Z51))))</f>
        <v>POLHYD</v>
      </c>
      <c r="Z51" s="280" t="n">
        <f aca="false">IF(ISERROR(MATCH(A51,'liste reference'!$A$8:$A$904,0)),IF(ISERROR(MATCH(A51,'liste reference'!$B$8:$B$904,0)),"",(MATCH(A51,'liste reference'!$B$8:$B$904,0))),(MATCH(A51,'liste reference'!$A$8:$A$904,0)))</f>
        <v>637</v>
      </c>
      <c r="AA51" s="491"/>
      <c r="AB51" s="492"/>
      <c r="AC51" s="492"/>
      <c r="BB51" s="280" t="n">
        <f aca="false">IF(A51="","",1)</f>
        <v>1</v>
      </c>
    </row>
    <row r="52" customFormat="false" ht="13.2" hidden="false" customHeight="false" outlineLevel="0" collapsed="false">
      <c r="A52" s="493" t="s">
        <v>2109</v>
      </c>
      <c r="B52" s="494" t="n">
        <v>0.03</v>
      </c>
      <c r="C52" s="495"/>
      <c r="D52" s="477" t="str">
        <f aca="false">IF(ISERROR(VLOOKUP($A52,'liste reference'!$A$7:$D$904,2,0)),IF(ISERROR(VLOOKUP($A52,'liste reference'!$B$7:$D$904,1,0)),"",VLOOKUP($A52,'liste reference'!$B$7:$D$904,1,0)),VLOOKUP($A52,'liste reference'!$A$7:$D$904,2,0))</f>
        <v>Veronica anagallis-aquatica</v>
      </c>
      <c r="E52" s="496" t="e">
        <f aca="false">IF(D52="",0,VLOOKUP(D52,D$22:D44,1,0))</f>
        <v>#N/A</v>
      </c>
      <c r="F52" s="501" t="n">
        <f aca="false">($B52*$B$7+$C52*$C$7)/100</f>
        <v>0.03</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11</v>
      </c>
      <c r="J52" s="481" t="n">
        <f aca="false">IF(ISNUMBER(H52),IF(ISERROR(VLOOKUP($A52,'liste reference'!$A$7:$P$904,4,0)),IF(ISERROR(VLOOKUP($A52,'liste reference'!$B$7:$P$904,3,0)),"",VLOOKUP($A52,'liste reference'!$B$7:$P$904,3,0)),VLOOKUP($A52,'liste reference'!$A$7:$P$904,4,0)),"")</f>
        <v>2</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Veronica anagallis-aquatica</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1955</v>
      </c>
      <c r="Q52" s="486" t="n">
        <f aca="false">IF(ISTEXT(H52),"",(B52*$B$7/100)+(C52*$C$7/100))</f>
        <v>0.03</v>
      </c>
      <c r="R52" s="487" t="n">
        <f aca="false">IF(OR(ISTEXT(H52),Q52=0),"",IF(Q52&lt;0.1,1,IF(Q52&lt;1,2,IF(Q52&lt;10,3,IF(Q52&lt;50,4,IF(Q52&gt;=50,5,""))))))</f>
        <v>1</v>
      </c>
      <c r="S52" s="487" t="n">
        <f aca="false">IF(ISERROR(R52*I52),0,R52*I52)</f>
        <v>11</v>
      </c>
      <c r="T52" s="487" t="n">
        <f aca="false">IF(ISERROR(R52*I52*J52),0,R52*I52*J52)</f>
        <v>22</v>
      </c>
      <c r="U52" s="499" t="n">
        <f aca="false">IF(ISERROR(R52*J52),0,R52*J52)</f>
        <v>2</v>
      </c>
      <c r="V52" s="488" t="str">
        <f aca="false">IF(AND(A52="",F52=0),"",IF(F52=0,"Il manque le(s) % de rec. !",""))</f>
        <v/>
      </c>
      <c r="W52" s="489"/>
      <c r="Y52" s="490" t="str">
        <f aca="false">IF(A52="new.cod","NEWCOD",IF(AND((Z52=""),ISTEXT(A52)),A52,IF(Z52="","",INDEX('liste reference'!$A$8:$A$904,Z52))))</f>
        <v>VERANA</v>
      </c>
      <c r="Z52" s="280" t="n">
        <f aca="false">IF(ISERROR(MATCH(A52,'liste reference'!$A$8:$A$904,0)),IF(ISERROR(MATCH(A52,'liste reference'!$B$8:$B$904,0)),"",(MATCH(A52,'liste reference'!$B$8:$B$904,0))),(MATCH(A52,'liste reference'!$A$8:$A$904,0)))</f>
        <v>682</v>
      </c>
      <c r="AA52" s="491"/>
      <c r="AB52" s="492"/>
      <c r="AC52" s="492"/>
      <c r="BB52" s="280" t="n">
        <f aca="false">IF(A52="","",1)</f>
        <v>1</v>
      </c>
    </row>
    <row r="53" customFormat="false" ht="13.2" hidden="false" customHeight="false" outlineLevel="0" collapsed="false">
      <c r="A53" s="493" t="s">
        <v>2436</v>
      </c>
      <c r="B53" s="494" t="n">
        <v>0.005</v>
      </c>
      <c r="C53" s="495"/>
      <c r="D53" s="477" t="str">
        <f aca="false">IF(ISERROR(VLOOKUP($A53,'liste reference'!$A$7:$D$904,2,0)),IF(ISERROR(VLOOKUP($A53,'liste reference'!$B$7:$D$904,1,0)),"",VLOOKUP($A53,'liste reference'!$B$7:$D$904,1,0)),VLOOKUP($A53,'liste reference'!$A$7:$D$904,2,0))</f>
        <v>Solanum dulcamara</v>
      </c>
      <c r="E53" s="496" t="e">
        <f aca="false">IF(D53="",0,VLOOKUP(D53,D$22:D52,1,0))</f>
        <v>#N/A</v>
      </c>
      <c r="F53" s="501" t="n">
        <f aca="false">($B53*$B$7+$C53*$C$7)/100</f>
        <v>0.005</v>
      </c>
      <c r="G53" s="479" t="str">
        <f aca="false">IF(A53="","",IF(ISERROR(VLOOKUP($A53,'liste reference'!$A$7:$P$904,13,0)),IF(ISERROR(VLOOKUP($A53,'liste reference'!$B$7:$P$904,12,0)),"    -",VLOOKUP($A53,'liste reference'!$B$7:$P$904,12,0)),VLOOKUP($A53,'liste reference'!$A$7:$P$904,13,0)))</f>
        <v>PHg</v>
      </c>
      <c r="H53" s="480" t="n">
        <f aca="false">IF(A53="","x",IF(ISERROR(VLOOKUP($A53,'liste reference'!$A$8:$P$904,14,0)),IF(ISERROR(VLOOKUP($A53,'liste reference'!$B$8:$P$904,13,0)),"x",VLOOKUP($A53,'liste reference'!$B$8:$P$904,13,0)),VLOOKUP($A53,'liste reference'!$A$8:$P$904,14,0)))</f>
        <v>9</v>
      </c>
      <c r="I53" s="481" t="n">
        <f aca="false">IF(ISNUMBER(H53),IF(ISERROR(VLOOKUP($A53,'liste reference'!$A$7:$P$904,3,0)),IF(ISERROR(VLOOKUP($A53,'liste reference'!$B$7:$P$904,2,0)),"",VLOOKUP($A53,'liste reference'!$B$7:$P$904,2,0)),VLOOKUP($A53,'liste reference'!$A$7:$P$904,3,0)),"")</f>
        <v>0</v>
      </c>
      <c r="J53" s="481" t="n">
        <f aca="false">IF(ISNUMBER(H53),IF(ISERROR(VLOOKUP($A53,'liste reference'!$A$7:$P$904,4,0)),IF(ISERROR(VLOOKUP($A53,'liste reference'!$B$7:$P$904,3,0)),"",VLOOKUP($A53,'liste reference'!$B$7:$P$904,3,0)),VLOOKUP($A53,'liste reference'!$A$7:$P$904,4,0)),"")</f>
        <v>0</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Solanum dulcamara</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1964</v>
      </c>
      <c r="Q53" s="486" t="n">
        <f aca="false">IF(ISTEXT(H53),"",(B53*$B$7/100)+(C53*$C$7/100))</f>
        <v>0.005</v>
      </c>
      <c r="R53" s="487" t="n">
        <f aca="false">IF(OR(ISTEXT(H53),Q53=0),"",IF(Q53&lt;0.1,1,IF(Q53&lt;1,2,IF(Q53&lt;10,3,IF(Q53&lt;50,4,IF(Q53&gt;=50,5,""))))))</f>
        <v>1</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SOADUL</v>
      </c>
      <c r="Z53" s="280" t="n">
        <f aca="false">IF(ISERROR(MATCH(A53,'liste reference'!$A$8:$A$904,0)),IF(ISERROR(MATCH(A53,'liste reference'!$B$8:$B$904,0)),"",(MATCH(A53,'liste reference'!$B$8:$B$904,0))),(MATCH(A53,'liste reference'!$A$8:$A$904,0)))</f>
        <v>824</v>
      </c>
      <c r="AA53" s="491"/>
      <c r="AB53" s="492"/>
      <c r="AC53" s="492"/>
      <c r="BB53" s="280" t="n">
        <f aca="false">IF(A53="","",1)</f>
        <v>1</v>
      </c>
    </row>
    <row r="54" customFormat="false" ht="13.2" hidden="false" customHeight="false" outlineLevel="0" collapsed="false">
      <c r="A54" s="493" t="s">
        <v>2685</v>
      </c>
      <c r="B54" s="494" t="n">
        <v>0.005</v>
      </c>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0.005</v>
      </c>
      <c r="G54" s="479" t="str">
        <f aca="false">IF(A54="","",IF(ISERROR(VLOOKUP($A54,'liste reference'!$A$7:$P$904,13,0)),IF(ISERROR(VLOOKUP($A54,'liste reference'!$B$7:$P$904,12,0)),"    -",VLOOKUP($A54,'liste reference'!$B$7:$P$904,12,0)),VLOOKUP($A54,'liste reference'!$A$7:$P$904,13,0)))</f>
        <v>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Bidens frondosa</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No</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newcod</v>
      </c>
      <c r="Z54" s="280" t="str">
        <f aca="false">IF(ISERROR(MATCH(A54,'liste reference'!$A$8:$A$904,0)),IF(ISERROR(MATCH(A54,'liste reference'!$B$8:$B$904,0)),"",(MATCH(A54,'liste reference'!$B$8:$B$904,0))),(MATCH(A54,'liste reference'!$A$8:$A$904,0)))</f>
        <v/>
      </c>
      <c r="AA54" s="491"/>
      <c r="AB54" s="492" t="s">
        <v>2686</v>
      </c>
      <c r="AC54" s="492"/>
      <c r="BB54" s="280" t="n">
        <f aca="false">IF(A54="","",1)</f>
        <v>1</v>
      </c>
    </row>
    <row r="55" customFormat="false" ht="13.2" hidden="false" customHeight="false" outlineLevel="0" collapsed="false">
      <c r="A55" s="493" t="s">
        <v>2685</v>
      </c>
      <c r="B55" s="494" t="n">
        <v>0.005</v>
      </c>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0.005</v>
      </c>
      <c r="G55" s="479" t="str">
        <f aca="false">IF(A55="","",IF(ISERROR(VLOOKUP($A55,'liste reference'!$A$7:$P$904,13,0)),IF(ISERROR(VLOOKUP($A55,'liste reference'!$B$7:$P$904,12,0)),"    -",VLOOKUP($A55,'liste reference'!$B$7:$P$904,12,0)),VLOOKUP($A55,'liste reference'!$A$7:$P$904,13,0)))</f>
        <v>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Paspalum distichum</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No</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newcod</v>
      </c>
      <c r="Z55" s="280" t="str">
        <f aca="false">IF(ISERROR(MATCH(A55,'liste reference'!$A$8:$A$904,0)),IF(ISERROR(MATCH(A55,'liste reference'!$B$8:$B$904,0)),"",(MATCH(A55,'liste reference'!$B$8:$B$904,0))),(MATCH(A55,'liste reference'!$A$8:$A$904,0)))</f>
        <v/>
      </c>
      <c r="AA55" s="491"/>
      <c r="AB55" s="492" t="s">
        <v>2687</v>
      </c>
      <c r="AC55" s="492"/>
      <c r="BB55" s="280" t="n">
        <f aca="false">IF(A55="","",1)</f>
        <v>1</v>
      </c>
    </row>
    <row r="56" customFormat="false" ht="13.2" hidden="false" customHeight="false" outlineLevel="0" collapsed="false">
      <c r="A56" s="493" t="s">
        <v>2685</v>
      </c>
      <c r="B56" s="494" t="n">
        <v>0.005</v>
      </c>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0.005</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Xanthium orientale subsp italicum</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2688</v>
      </c>
      <c r="AC56" s="492"/>
      <c r="BB56" s="280" t="n">
        <f aca="false">IF(A56="","",1)</f>
        <v>1</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Orb</v>
      </c>
      <c r="B84" s="529" t="str">
        <f aca="false">C3</f>
        <v>Villeneuve Les Béziers</v>
      </c>
      <c r="C84" s="530" t="n">
        <f aca="false">A4</f>
        <v>41526</v>
      </c>
      <c r="D84" s="531" t="n">
        <f aca="false">IF(ISERROR(SUM($T$23:$T$82)/SUM($U$23:$U$82)),"",SUM($T$23:$T$82)/SUM($U$23:$U$82))</f>
        <v>7.92207792207792</v>
      </c>
      <c r="E84" s="532" t="n">
        <f aca="false">N13</f>
        <v>34</v>
      </c>
      <c r="F84" s="529" t="n">
        <f aca="false">N14</f>
        <v>31</v>
      </c>
      <c r="G84" s="529" t="n">
        <f aca="false">N15</f>
        <v>9</v>
      </c>
      <c r="H84" s="529" t="n">
        <f aca="false">N16</f>
        <v>13</v>
      </c>
      <c r="I84" s="529" t="n">
        <f aca="false">N17</f>
        <v>4</v>
      </c>
      <c r="J84" s="533" t="n">
        <f aca="false">N8</f>
        <v>7.45161290322581</v>
      </c>
      <c r="K84" s="531" t="n">
        <f aca="false">N9</f>
        <v>4.31679921505035</v>
      </c>
      <c r="L84" s="532" t="n">
        <f aca="false">N10</f>
        <v>0</v>
      </c>
      <c r="M84" s="532" t="n">
        <f aca="false">N11</f>
        <v>14</v>
      </c>
      <c r="N84" s="531" t="n">
        <f aca="false">O8</f>
        <v>1.51612903225806</v>
      </c>
      <c r="O84" s="531" t="n">
        <f aca="false">O9</f>
        <v>0.911254638182293</v>
      </c>
      <c r="P84" s="532" t="n">
        <f aca="false">O10</f>
        <v>0</v>
      </c>
      <c r="Q84" s="532" t="n">
        <f aca="false">O11</f>
        <v>3</v>
      </c>
      <c r="R84" s="532" t="n">
        <f aca="false">F21</f>
        <v>9.155</v>
      </c>
      <c r="S84" s="532" t="n">
        <f aca="false">K11</f>
        <v>0</v>
      </c>
      <c r="T84" s="532" t="n">
        <f aca="false">K12</f>
        <v>8</v>
      </c>
      <c r="U84" s="532" t="n">
        <f aca="false">K13</f>
        <v>2</v>
      </c>
      <c r="V84" s="534" t="n">
        <f aca="false">K14</f>
        <v>0</v>
      </c>
      <c r="W84" s="535" t="n">
        <f aca="false">K15</f>
        <v>21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30</v>
      </c>
      <c r="T87" s="280"/>
      <c r="U87" s="280"/>
      <c r="V87" s="280"/>
    </row>
    <row r="88" customFormat="false" ht="13.2" hidden="true" customHeight="false" outlineLevel="0" collapsed="false">
      <c r="P88" s="280"/>
      <c r="Q88" s="280" t="s">
        <v>2692</v>
      </c>
      <c r="R88" s="280"/>
      <c r="S88" s="488" t="n">
        <f aca="false">VLOOKUP((S87),($S$23:$U$82),2,0)</f>
        <v>60</v>
      </c>
      <c r="T88" s="280"/>
      <c r="U88" s="280"/>
      <c r="V88" s="280"/>
    </row>
    <row r="89" customFormat="false" ht="13.2" hidden="true" customHeight="false" outlineLevel="0" collapsed="false">
      <c r="Q89" s="280" t="s">
        <v>2693</v>
      </c>
      <c r="R89" s="280"/>
      <c r="S89" s="488" t="n">
        <f aca="false">VLOOKUP((S87),($S$23:$U$82),3,0)</f>
        <v>6</v>
      </c>
      <c r="T89" s="280"/>
    </row>
    <row r="90" customFormat="false" ht="13.2" hidden="false" customHeight="false" outlineLevel="0" collapsed="false">
      <c r="Q90" s="280" t="s">
        <v>2694</v>
      </c>
      <c r="R90" s="280"/>
      <c r="S90" s="538" t="n">
        <f aca="false">IF(ISERROR(SUM($T$23:$T$82)/SUM($U$23:$U$82)),"",(SUM($T$23:$T$82)-S88)/(SUM($U$23:$U$82)-S89))</f>
        <v>7.74647887323944</v>
      </c>
      <c r="T90" s="280"/>
    </row>
    <row r="91" customFormat="false" ht="13.2" hidden="false" customHeight="false" outlineLevel="0" collapsed="false">
      <c r="Q91" s="487" t="s">
        <v>2695</v>
      </c>
      <c r="R91" s="487"/>
      <c r="S91" s="487" t="str">
        <f aca="false">INDEX('liste reference'!$A$8:$A$904,$T$91)</f>
        <v>RANFLU</v>
      </c>
      <c r="T91" s="280" t="n">
        <f aca="false">IF(ISERROR(MATCH($S$93,'liste reference'!$A$8:$A$904,0)),MATCH($S$93,'liste reference'!$B$8:$B$904,0),(MATCH($S$93,'liste reference'!$A$8:$A$904,0)))</f>
        <v>456</v>
      </c>
      <c r="U91" s="527"/>
    </row>
    <row r="92" customFormat="false" ht="13.2" hidden="false" customHeight="false" outlineLevel="0" collapsed="false">
      <c r="Q92" s="280" t="s">
        <v>2696</v>
      </c>
      <c r="R92" s="280"/>
      <c r="S92" s="280" t="n">
        <f aca="false">MATCH(S87,$S$23:$S$82,0)</f>
        <v>18</v>
      </c>
      <c r="T92" s="280"/>
    </row>
    <row r="93" customFormat="false" ht="13.2" hidden="false" customHeight="false" outlineLevel="0" collapsed="false">
      <c r="Q93" s="487" t="s">
        <v>2697</v>
      </c>
      <c r="R93" s="280"/>
      <c r="S93" s="487" t="str">
        <f aca="false">INDEX($A$23:$A$82,$S$92)</f>
        <v>RANFLU</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8"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0</v>
      </c>
      <c r="T87" s="280"/>
      <c r="U87" s="280"/>
      <c r="V87" s="280"/>
    </row>
    <row r="88" customFormat="false" ht="13.2" hidden="true" customHeight="false" outlineLevel="0" collapsed="false">
      <c r="P88" s="280"/>
      <c r="Q88" s="280" t="s">
        <v>2692</v>
      </c>
      <c r="R88" s="280"/>
      <c r="S88" s="488" t="n">
        <f aca="false">VLOOKUP((S87),($S$23:$U$82),2,0)</f>
        <v>0</v>
      </c>
      <c r="T88" s="280"/>
      <c r="U88" s="280"/>
      <c r="V88" s="280"/>
    </row>
    <row r="89" customFormat="false" ht="13.2" hidden="true" customHeight="false" outlineLevel="0" collapsed="false">
      <c r="Q89" s="280" t="s">
        <v>2693</v>
      </c>
      <c r="R89" s="280"/>
      <c r="S89" s="488" t="n">
        <f aca="false">VLOOKUP((S87),($S$23:$U$82),3,0)</f>
        <v>0</v>
      </c>
      <c r="T89" s="280"/>
    </row>
    <row r="90" customFormat="false" ht="13.2" hidden="false" customHeight="false" outlineLevel="0" collapsed="false">
      <c r="Q90" s="280" t="s">
        <v>2694</v>
      </c>
      <c r="R90" s="280"/>
      <c r="S90" s="538" t="str">
        <f aca="false">IF(ISERROR(SUM($T$23:$T$82)/SUM($U$23:$U$82)),"",(SUM($T$23:$T$82)-S88)/(SUM($U$23:$U$82)-S89))</f>
        <v/>
      </c>
      <c r="T90" s="280"/>
    </row>
    <row r="91" customFormat="false" ht="13.2"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2696</v>
      </c>
      <c r="R92" s="280"/>
      <c r="S92" s="280" t="n">
        <f aca="false">MATCH(S87,$S$23:$S$82,0)</f>
        <v>1</v>
      </c>
      <c r="T92" s="280"/>
    </row>
    <row r="93" customFormat="false" ht="13.2" hidden="false" customHeight="false" outlineLevel="0" collapsed="false">
      <c r="Q93" s="487" t="s">
        <v>2697</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2705</v>
      </c>
      <c r="B1" s="549"/>
      <c r="C1" s="549"/>
      <c r="D1" s="549"/>
    </row>
    <row r="2" customFormat="false" ht="13.8" hidden="false" customHeight="false" outlineLevel="0" collapsed="false">
      <c r="A2" s="550" t="s">
        <v>2706</v>
      </c>
      <c r="B2" s="551"/>
      <c r="C2" s="552"/>
      <c r="D2" s="552"/>
    </row>
    <row r="3" customFormat="false" ht="14.4" hidden="false" customHeight="false" outlineLevel="0" collapsed="false">
      <c r="A3" s="550" t="s">
        <v>2707</v>
      </c>
      <c r="B3" s="551"/>
      <c r="C3" s="552"/>
      <c r="D3" s="553" t="s">
        <v>2708</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2709</v>
      </c>
      <c r="G15" s="571"/>
      <c r="H15" s="572" t="s">
        <v>2710</v>
      </c>
      <c r="I15" s="571"/>
    </row>
    <row r="16" customFormat="false" ht="14.4" hidden="false" customHeight="false" outlineLevel="0" collapsed="false">
      <c r="A16" s="567" t="s">
        <v>1708</v>
      </c>
      <c r="B16" s="566" t="s">
        <v>1709</v>
      </c>
      <c r="C16" s="568"/>
      <c r="D16" s="569"/>
      <c r="F16" s="573" t="s">
        <v>2711</v>
      </c>
      <c r="G16" s="574"/>
      <c r="H16" s="573" t="s">
        <v>2711</v>
      </c>
      <c r="I16" s="575"/>
    </row>
    <row r="17" customFormat="false" ht="14.4" hidden="false" customHeight="false" outlineLevel="0" collapsed="false">
      <c r="A17" s="565" t="s">
        <v>2127</v>
      </c>
      <c r="B17" s="566" t="s">
        <v>2128</v>
      </c>
      <c r="C17" s="568"/>
      <c r="D17" s="569"/>
      <c r="F17" s="576" t="s">
        <v>2712</v>
      </c>
      <c r="G17" s="577"/>
      <c r="H17" s="576" t="s">
        <v>2712</v>
      </c>
      <c r="I17" s="578"/>
    </row>
    <row r="18" customFormat="false" ht="14.4" hidden="false" customHeight="false" outlineLevel="0" collapsed="false">
      <c r="A18" s="565" t="s">
        <v>1212</v>
      </c>
      <c r="B18" s="566" t="s">
        <v>1213</v>
      </c>
      <c r="C18" s="568"/>
      <c r="D18" s="569"/>
      <c r="F18" s="576" t="s">
        <v>2713</v>
      </c>
      <c r="G18" s="577"/>
      <c r="H18" s="576" t="s">
        <v>2713</v>
      </c>
      <c r="I18" s="578"/>
    </row>
    <row r="19" customFormat="false" ht="14.4" hidden="false" customHeight="false" outlineLevel="0" collapsed="false">
      <c r="A19" s="565" t="s">
        <v>1711</v>
      </c>
      <c r="B19" s="566" t="s">
        <v>1712</v>
      </c>
      <c r="C19" s="568"/>
      <c r="D19" s="569"/>
      <c r="F19" s="576" t="s">
        <v>2714</v>
      </c>
      <c r="G19" s="577"/>
      <c r="H19" s="576" t="s">
        <v>2714</v>
      </c>
      <c r="I19" s="578"/>
    </row>
    <row r="20" customFormat="false" ht="14.4" hidden="false" customHeight="false" outlineLevel="0" collapsed="false">
      <c r="A20" s="567" t="s">
        <v>1714</v>
      </c>
      <c r="B20" s="566" t="s">
        <v>1715</v>
      </c>
      <c r="C20" s="568"/>
      <c r="D20" s="569"/>
      <c r="F20" s="576" t="s">
        <v>2715</v>
      </c>
      <c r="G20" s="577"/>
      <c r="H20" s="576" t="s">
        <v>2715</v>
      </c>
      <c r="I20" s="578"/>
    </row>
    <row r="21" customFormat="false" ht="14.4" hidden="false" customHeight="false" outlineLevel="0" collapsed="false">
      <c r="A21" s="567" t="s">
        <v>1720</v>
      </c>
      <c r="B21" s="566" t="s">
        <v>1721</v>
      </c>
      <c r="C21" s="568"/>
      <c r="D21" s="569"/>
      <c r="F21" s="576" t="s">
        <v>2624</v>
      </c>
      <c r="G21" s="577"/>
      <c r="H21" s="576" t="s">
        <v>2624</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2717</v>
      </c>
      <c r="G23" s="577"/>
      <c r="H23" s="576" t="s">
        <v>2717</v>
      </c>
      <c r="I23" s="578"/>
    </row>
    <row r="24" customFormat="false" ht="14.4" hidden="false" customHeight="false" outlineLevel="0" collapsed="false">
      <c r="A24" s="565" t="s">
        <v>2130</v>
      </c>
      <c r="B24" s="566" t="s">
        <v>2131</v>
      </c>
      <c r="C24" s="568"/>
      <c r="D24" s="569"/>
      <c r="F24" s="576" t="s">
        <v>2718</v>
      </c>
      <c r="G24" s="577"/>
      <c r="H24" s="576" t="s">
        <v>2718</v>
      </c>
      <c r="I24" s="578"/>
    </row>
    <row r="25" customFormat="false" ht="14.4" hidden="false" customHeight="false" outlineLevel="0" collapsed="false">
      <c r="A25" s="565" t="s">
        <v>2133</v>
      </c>
      <c r="B25" s="566" t="s">
        <v>2134</v>
      </c>
      <c r="C25" s="568"/>
      <c r="D25" s="569"/>
      <c r="F25" s="579" t="s">
        <v>2719</v>
      </c>
      <c r="G25" s="580"/>
      <c r="H25" s="579" t="s">
        <v>2719</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2684</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2720</v>
      </c>
    </row>
    <row r="35" customFormat="false" ht="14.4" hidden="false" customHeight="false" outlineLevel="0" collapsed="false">
      <c r="A35" s="565" t="s">
        <v>52</v>
      </c>
      <c r="B35" s="566" t="s">
        <v>53</v>
      </c>
      <c r="C35" s="568"/>
      <c r="D35" s="569"/>
      <c r="F35" s="583" t="s">
        <v>2721</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2722</v>
      </c>
      <c r="C37" s="568"/>
      <c r="D37" s="569"/>
      <c r="F37" s="585" t="s">
        <v>2723</v>
      </c>
    </row>
    <row r="38" customFormat="false" ht="14.4" hidden="false" customHeight="false" outlineLevel="0" collapsed="false">
      <c r="A38" s="565" t="s">
        <v>2145</v>
      </c>
      <c r="B38" s="566" t="s">
        <v>2146</v>
      </c>
      <c r="C38" s="568"/>
      <c r="D38" s="569"/>
      <c r="F38" s="585" t="s">
        <v>2724</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2725</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2726</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2727</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2728</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2729</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2730</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2731</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2014-04-07T15:38:20Z</dcterms:modified>
  <cp:revision>0</cp:revision>
  <dc:subject/>
  <dc:title>Feuille d'aide au calcul de l'IBMR</dc:title>
</cp:coreProperties>
</file>