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Pallas à Loupian" sheetId="6" state="visible" r:id="rId8"/>
    <sheet name="modele" sheetId="7" state="hidden" r:id="rId9"/>
    <sheet name="liste codes réf" sheetId="8" state="hidden" r:id="rId10"/>
  </sheets>
  <externalReferences>
    <externalReference r:id="rId11"/>
  </externalReference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'Pallas à Loupian'!$A$1:$O$82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'Pallas à Loupian'!$A$23:$J$84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17</xdr:colOff>
                <xdr:row>1</xdr:row>
                <xdr:rowOff>7</xdr:rowOff>
              </xdr:from>
              <xdr:to>
                <xdr:col>9</xdr:col>
                <xdr:colOff>12</xdr:colOff>
                <xdr:row>2</xdr:row>
                <xdr:rowOff>12</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<sst xmlns="http://schemas.openxmlformats.org/spreadsheetml/2006/main" count="7351" uniqueCount="2728">
  <si>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</si>
  <si>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</si>
  <si>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</si>
  <si>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</si>
  <si>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</si>
  <si>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</si>
  <si>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</si>
  <si>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</si>
  <si>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</si>
  <si>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</si>
  <si>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</si>
  <si>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</si>
  <si>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</si>
  <si>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</si>
  <si>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</si>
  <si>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</si>
  <si>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</si>
  <si>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</si>
  <si>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</si>
  <si>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</si>
  <si>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</si>
  <si>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</si>
  <si>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</si>
  <si>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</si>
  <si>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</si>
  <si>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</si>
  <si>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</si>
  <si>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</si>
  <si>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</si>
  <si>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</si>
  <si>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</si>
  <si>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</si>
  <si>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</si>
  <si>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</si>
  <si>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</si>
  <si>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</si>
  <si>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</si>
  <si>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</si>
  <si>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</si>
  <si>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</si>
  <si>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</si>
  <si>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</si>
  <si>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</si>
  <si>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</si>
  <si>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</si>
  <si>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</si>
  <si>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</si>
  <si>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</si>
  <si>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</si>
  <si>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</si>
  <si>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</si>
  <si>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</si>
  <si>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</si>
  <si>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</si>
  <si>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</si>
  <si>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</si>
  <si>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</si>
  <si>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</si>
  <si>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</si>
  <si>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</si>
  <si>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</si>
  <si>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</si>
  <si>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</si>
  <si>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</si>
  <si>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</si>
  <si>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</si>
  <si>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</si>
  <si>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</si>
  <si>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</si>
  <si>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</si>
  <si>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</si>
  <si>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</si>
  <si>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</si>
  <si>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</si>
  <si>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</si>
  <si>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</si>
  <si>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</si>
  <si>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</si>
  <si>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</si>
  <si>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</si>
  <si>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</si>
  <si>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</si>
  <si>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</si>
  <si>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</si>
  <si>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</si>
  <si>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</si>
  <si>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</si>
  <si>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</si>
  <si>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</si>
  <si>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</si>
  <si>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</si>
  <si>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</si>
  <si>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</si>
  <si>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</si>
  <si>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</si>
  <si>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</si>
  <si>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</si>
  <si>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</si>
  <si>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</si>
  <si>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</si>
  <si>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</si>
  <si>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</si>
  <si>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</si>
  <si>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</si>
  <si>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</si>
  <si>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</si>
  <si>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</si>
  <si>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</si>
  <si>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</si>
  <si>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</si>
  <si>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</si>
  <si>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</si>
  <si>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</si>
  <si>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</si>
  <si>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</si>
  <si>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</si>
  <si>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</si>
  <si>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</si>
  <si>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</si>
  <si>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</si>
  <si>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</si>
  <si>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</si>
  <si>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</si>
  <si>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</si>
  <si>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</si>
  <si>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</si>
  <si>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</si>
  <si>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</si>
  <si>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</si>
  <si>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</si>
  <si>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</si>
  <si>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</si>
  <si>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</si>
  <si>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</si>
  <si>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</si>
  <si>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</si>
  <si>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</si>
  <si>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</si>
  <si>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</si>
  <si>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</si>
  <si>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</si>
  <si>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</si>
  <si>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</si>
  <si>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</si>
  <si>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</si>
  <si>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</si>
  <si>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</si>
  <si>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</si>
  <si>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</si>
  <si>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</si>
  <si>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</si>
  <si>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</si>
  <si>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</si>
  <si>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</si>
  <si>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</si>
  <si>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</si>
  <si>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</si>
  <si>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</si>
  <si>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</si>
  <si>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</si>
  <si>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</si>
  <si>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</si>
  <si>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</si>
  <si>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</si>
  <si>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</si>
  <si>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</si>
  <si>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</si>
  <si>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</si>
  <si>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</si>
  <si>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</si>
  <si>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</si>
  <si>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</si>
  <si>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</si>
  <si>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</si>
  <si>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</si>
  <si>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</si>
  <si>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</si>
  <si>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</si>
  <si>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</si>
  <si>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</si>
  <si>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</si>
  <si>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</si>
  <si>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</si>
  <si>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</si>
  <si>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</si>
  <si>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</si>
  <si>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</si>
  <si>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</si>
  <si>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</si>
  <si>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</si>
  <si>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</si>
  <si>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</si>
  <si>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</si>
  <si>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</si>
  <si>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</si>
  <si>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</si>
  <si>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</si>
  <si>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</si>
  <si>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</si>
  <si>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</si>
  <si>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</si>
  <si>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</si>
  <si>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</si>
  <si>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</si>
  <si>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</si>
  <si>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</si>
  <si>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</si>
  <si>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</si>
  <si>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</si>
  <si>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</si>
  <si>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</si>
  <si>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</si>
  <si>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</si>
  <si>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</si>
  <si>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</si>
  <si>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</si>
  <si>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</si>
  <si>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</si>
  <si>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</si>
  <si>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</si>
  <si>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</si>
  <si>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</si>
  <si>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</si>
  <si>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</si>
  <si>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</si>
  <si>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</si>
  <si>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</si>
  <si>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</si>
  <si>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</si>
  <si>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</si>
  <si>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</si>
  <si>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</si>
  <si>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</si>
  <si>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</si>
  <si>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</si>
  <si>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</si>
  <si>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</si>
  <si>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</si>
  <si>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</si>
  <si>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</si>
  <si>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</si>
  <si>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</si>
  <si>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</si>
  <si>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</si>
  <si>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</si>
  <si>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</si>
  <si>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</si>
  <si>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</si>
  <si>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</si>
  <si>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</si>
  <si>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</si>
  <si>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</si>
  <si>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</si>
  <si>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</si>
  <si>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</si>
  <si>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</si>
  <si>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</si>
  <si>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</si>
  <si>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</si>
  <si>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</si>
  <si>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</si>
  <si>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</si>
  <si>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</si>
  <si>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</si>
  <si>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</si>
  <si>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</si>
  <si>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</si>
  <si>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</si>
  <si>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</si>
  <si>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</si>
  <si>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</si>
  <si>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</si>
  <si>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</si>
  <si>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</si>
  <si>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</si>
  <si>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</si>
  <si>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</si>
  <si>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</si>
  <si>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</si>
  <si>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</si>
  <si>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</si>
  <si>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</si>
  <si>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</si>
  <si>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</si>
  <si>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</si>
  <si>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</si>
  <si>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</si>
  <si>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</si>
  <si>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</si>
  <si>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</si>
  <si>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</si>
  <si>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</si>
  <si>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</si>
  <si>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</si>
  <si>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</si>
  <si>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</si>
  <si>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</si>
  <si>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</si>
  <si>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</si>
  <si>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</si>
  <si>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</si>
  <si>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</si>
  <si>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</si>
  <si>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</si>
  <si>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</si>
  <si>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</si>
  <si>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</si>
  <si>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</si>
  <si>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</si>
  <si>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</si>
  <si>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</si>
  <si>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</si>
  <si>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</si>
  <si>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</si>
  <si>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</si>
  <si>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</si>
  <si>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</si>
  <si>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</si>
  <si>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</si>
  <si>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</si>
  <si>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</si>
  <si>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</si>
  <si>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</si>
  <si>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</si>
  <si>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</si>
  <si>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</si>
  <si>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</si>
  <si>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</si>
  <si>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</si>
  <si>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</si>
  <si>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</si>
  <si>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</si>
  <si>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</si>
  <si>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</si>
  <si>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</si>
  <si>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</si>
  <si>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</si>
  <si>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</si>
  <si>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</si>
  <si>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</si>
  <si>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</si>
  <si>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</si>
  <si>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</si>
  <si>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</si>
  <si>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</si>
  <si>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</si>
  <si>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</si>
  <si>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</si>
  <si>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</si>
  <si>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</si>
  <si>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</si>
  <si>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</si>
  <si>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</si>
  <si>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</si>
  <si>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</si>
  <si>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</si>
  <si>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</si>
  <si>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</si>
  <si>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</si>
  <si>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</si>
  <si>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</si>
  <si>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</si>
  <si>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</si>
  <si>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</si>
  <si>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</si>
  <si>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</si>
  <si>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</si>
  <si>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</si>
  <si>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</si>
  <si>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</si>
  <si>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</si>
  <si>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</si>
  <si>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</si>
  <si>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</si>
  <si>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</si>
  <si>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</si>
  <si>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</si>
  <si>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</si>
  <si>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</si>
  <si>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</si>
  <si>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</si>
  <si>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</si>
  <si>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</si>
  <si>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</si>
  <si>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</si>
  <si>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</si>
  <si>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</si>
  <si>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</si>
  <si>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</si>
  <si>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</si>
  <si>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</si>
  <si>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</si>
  <si>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</si>
  <si>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</si>
  <si>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</si>
  <si>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</si>
  <si>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</si>
  <si>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</si>
  <si>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</si>
  <si>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</si>
  <si>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</si>
  <si>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</si>
  <si>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</si>
  <si>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</si>
  <si>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</si>
  <si>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</si>
  <si>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</si>
  <si>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</si>
  <si>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</si>
  <si>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</si>
  <si>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</si>
  <si>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</si>
  <si>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</si>
  <si>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</si>
  <si>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</si>
  <si>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</si>
  <si>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</si>
  <si>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</si>
  <si>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</si>
  <si>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</si>
  <si>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</si>
  <si>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</si>
  <si>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</si>
  <si>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</si>
  <si>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</si>
  <si>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</si>
  <si>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</si>
  <si>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</si>
  <si>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</si>
  <si>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</si>
  <si>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</si>
  <si>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</si>
  <si>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</si>
  <si>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</si>
  <si>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</si>
  <si>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</si>
  <si>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</si>
  <si>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</si>
  <si>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</si>
  <si>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</si>
  <si>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</si>
  <si>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</si>
  <si>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</si>
  <si>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</si>
  <si>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</si>
  <si>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</si>
  <si>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</si>
  <si>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</si>
  <si>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</si>
  <si>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</si>
  <si>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</si>
  <si>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</si>
  <si>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</si>
  <si>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</si>
  <si>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</si>
  <si>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</si>
  <si>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</si>
  <si>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</si>
  <si>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</si>
  <si>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</si>
  <si>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</si>
  <si>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</si>
  <si>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</si>
  <si>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</si>
  <si>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</si>
  <si>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</si>
  <si>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</si>
  <si>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</si>
  <si>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</si>
  <si>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</si>
  <si>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</si>
  <si>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</si>
  <si>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</si>
  <si>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</si>
  <si>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</si>
  <si>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</si>
  <si>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</si>
  <si>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</si>
  <si>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</si>
  <si>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</si>
  <si>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</si>
  <si>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</si>
  <si>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</si>
  <si>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</si>
  <si>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</si>
  <si>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</si>
  <si>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</si>
  <si>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</si>
  <si>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</si>
  <si>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</si>
  <si>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</si>
  <si>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</si>
  <si>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</si>
  <si>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</si>
  <si>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</si>
  <si>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</si>
  <si>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</si>
  <si>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</si>
  <si>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</si>
  <si>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</si>
  <si>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</si>
  <si>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</si>
  <si>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</si>
  <si>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</si>
  <si>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</si>
  <si>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</si>
  <si>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</si>
  <si>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</si>
  <si>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</si>
  <si>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</si>
  <si>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</si>
  <si>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</si>
  <si>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</si>
  <si>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</si>
  <si>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</si>
  <si>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</si>
  <si>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</si>
  <si>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</si>
  <si>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</si>
  <si>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</si>
  <si>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</si>
  <si>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</si>
  <si>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</si>
  <si>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</si>
  <si>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</si>
  <si>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</si>
  <si>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</si>
  <si>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</si>
  <si>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</si>
  <si>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</si>
  <si>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</si>
  <si>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</si>
  <si>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</si>
  <si>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</si>
  <si>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</si>
  <si>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</si>
  <si>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</si>
  <si>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</si>
  <si>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</si>
  <si>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</si>
  <si>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</si>
  <si>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</si>
  <si>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</si>
  <si>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</si>
  <si>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</si>
  <si>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</si>
  <si>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</si>
  <si>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</si>
  <si>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</si>
  <si>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</si>
  <si>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</si>
  <si>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</si>
  <si>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</si>
  <si>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</si>
  <si>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</si>
  <si>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</si>
  <si>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</si>
  <si>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</si>
  <si>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</si>
  <si>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</si>
  <si>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</si>
  <si>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</si>
  <si>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</si>
  <si>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</si>
  <si>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</si>
  <si>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</si>
  <si>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</si>
  <si>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</si>
  <si>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</si>
  <si>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</si>
  <si>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</si>
  <si>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</si>
  <si>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</si>
  <si>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</si>
  <si>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</si>
  <si>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</si>
  <si>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</si>
  <si>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</si>
  <si>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</si>
  <si>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</si>
  <si>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</si>
  <si>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</si>
  <si>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</si>
  <si>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</si>
  <si>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</si>
  <si>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</si>
  <si>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</si>
  <si>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</si>
  <si>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</si>
  <si>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</si>
  <si>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</si>
  <si>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</si>
  <si>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</si>
  <si>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</si>
  <si>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</si>
  <si>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</si>
  <si>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</si>
  <si>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</si>
  <si>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</si>
  <si>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</si>
  <si>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</si>
  <si>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</si>
  <si>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</si>
  <si>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</si>
  <si>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</si>
  <si>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</si>
  <si>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</si>
  <si>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</si>
  <si>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</si>
  <si>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</si>
  <si>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</si>
  <si>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</si>
  <si>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</si>
  <si>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</si>
  <si>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</si>
  <si>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</si>
  <si>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</si>
  <si>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</si>
  <si>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</si>
  <si>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</si>
  <si>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</si>
  <si>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</si>
  <si>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</si>
  <si>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</si>
  <si>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</si>
  <si>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</si>
  <si>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</si>
  <si>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</si>
  <si>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</si>
  <si>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</si>
  <si>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</si>
  <si>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</si>
  <si>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</si>
  <si>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</si>
  <si>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</si>
  <si>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</si>
  <si>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</si>
  <si>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</si>
  <si>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</si>
  <si>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</si>
  <si>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</si>
  <si>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</si>
  <si>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</si>
  <si>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</si>
  <si>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</si>
  <si>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</si>
  <si>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</si>
  <si>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</si>
  <si>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</si>
  <si>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</si>
  <si>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</si>
  <si>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</si>
  <si>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</si>
  <si>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</si>
  <si>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</si>
  <si>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</si>
  <si>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</si>
  <si>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</si>
  <si>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</si>
  <si>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</si>
  <si>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</si>
  <si>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</si>
  <si>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</si>
  <si>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</si>
  <si>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</si>
  <si>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</si>
  <si>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</si>
  <si>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</si>
  <si>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</si>
  <si>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</si>
  <si>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</si>
  <si>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</si>
  <si>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</si>
  <si>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</si>
  <si>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</si>
  <si>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</si>
  <si>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</si>
  <si>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</si>
  <si>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</si>
  <si>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</si>
  <si>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</si>
  <si>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</si>
  <si>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</si>
  <si>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</si>
  <si>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</si>
  <si>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</si>
  <si>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</si>
  <si>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</si>
  <si>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</si>
  <si>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</si>
  <si>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</si>
  <si>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</si>
  <si>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</si>
  <si>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</si>
  <si>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</si>
  <si>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</si>
  <si>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</si>
  <si>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</si>
  <si>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</si>
  <si>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</si>
  <si>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</si>
  <si>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</si>
  <si>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</si>
  <si>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</si>
  <si>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</si>
  <si>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</si>
  <si>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</si>
  <si>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</si>
  <si>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</si>
  <si>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</si>
  <si>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</si>
  <si>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</si>
  <si>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</si>
  <si>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</si>
  <si>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</si>
  <si>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</si>
  <si>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</si>
  <si>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</si>
  <si>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</si>
  <si>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</si>
  <si>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</si>
  <si>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</si>
  <si>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</si>
  <si>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</si>
  <si>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</si>
  <si>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</si>
  <si>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</si>
  <si>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</si>
  <si>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</si>
  <si>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</si>
  <si>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</si>
  <si>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</si>
  <si>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</si>
  <si>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</si>
  <si>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</si>
  <si>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</si>
  <si>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</si>
  <si>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</si>
  <si>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</si>
  <si>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</si>
  <si>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</si>
  <si>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</si>
  <si>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</si>
  <si>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</si>
  <si>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</si>
  <si>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</si>
  <si>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</si>
  <si>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</si>
  <si>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</si>
  <si>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</si>
  <si>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</si>
  <si>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</si>
  <si>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</si>
  <si>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</si>
  <si>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</si>
  <si>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</si>
  <si>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</si>
  <si>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</si>
  <si>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</si>
  <si>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</si>
  <si>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</si>
  <si>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</si>
  <si>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</si>
  <si>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</si>
  <si>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</si>
  <si>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</si>
  <si>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</si>
  <si>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</si>
  <si>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</si>
  <si>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</si>
  <si>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</si>
  <si>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</si>
  <si>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</si>
  <si>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</si>
  <si>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</si>
  <si>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</si>
  <si>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</si>
  <si>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</si>
  <si>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</si>
  <si>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</si>
  <si>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</si>
  <si>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</si>
  <si>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</si>
  <si>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</si>
  <si>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</si>
  <si>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</si>
  <si>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</si>
  <si>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</si>
  <si>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</si>
  <si>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</si>
  <si>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</si>
  <si>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</si>
  <si>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</si>
  <si>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</si>
  <si>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</si>
  <si>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</si>
  <si>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</si>
  <si>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</si>
  <si>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</si>
  <si>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</si>
  <si>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</si>
  <si>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</si>
  <si>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</si>
  <si>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</si>
  <si>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</si>
  <si>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</si>
  <si>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</si>
  <si>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</si>
  <si>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</si>
  <si>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</si>
  <si>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</si>
  <si>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</si>
  <si>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</si>
  <si>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</si>
  <si>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</si>
  <si>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</si>
  <si>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</si>
  <si>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</si>
  <si>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</si>
  <si>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</si>
  <si>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</si>
  <si>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</si>
  <si>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</si>
  <si>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</si>
  <si>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</si>
  <si>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</si>
  <si>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</si>
  <si>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</si>
  <si>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</si>
  <si>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</si>
  <si>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</si>
  <si>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</si>
  <si>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</si>
  <si>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</si>
  <si>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</si>
  <si>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</si>
  <si>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</si>
  <si>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</si>
  <si>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</si>
  <si>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</si>
  <si>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</si>
  <si>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</si>
  <si>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</si>
  <si>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</si>
  <si>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</si>
  <si>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</si>
  <si>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</si>
  <si>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</si>
  <si>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</si>
  <si>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</si>
  <si>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</si>
  <si>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</si>
  <si>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</si>
  <si>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</si>
  <si>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</si>
  <si>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</si>
  <si>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</si>
  <si>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</si>
  <si>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</si>
  <si>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</si>
  <si>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</si>
  <si>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</si>
  <si>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</si>
  <si>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</si>
  <si>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</si>
  <si>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</si>
  <si>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</si>
  <si>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</si>
  <si>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</si>
  <si>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</si>
  <si>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</si>
  <si>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</si>
  <si>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</si>
  <si>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</si>
  <si>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</si>
  <si>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</si>
  <si>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</si>
  <si>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</si>
  <si>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</si>
  <si>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</si>
  <si>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</si>
  <si>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</si>
  <si>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</si>
  <si>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</si>
  <si>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</si>
  <si>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</si>
  <si>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</si>
  <si>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</si>
  <si>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</si>
  <si>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</si>
  <si>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</si>
  <si>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</si>
  <si>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</si>
  <si>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</si>
  <si>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</si>
  <si>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</si>
  <si>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</si>
  <si>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</si>
  <si>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</si>
  <si>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</si>
  <si>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</si>
  <si>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</si>
  <si>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</si>
  <si>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</si>
  <si>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</si>
  <si>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</si>
  <si>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</si>
  <si>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</si>
  <si>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</si>
  <si>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</si>
  <si>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</si>
  <si>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</si>
  <si>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</si>
  <si>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</si>
  <si>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</si>
  <si>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</si>
  <si>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</si>
  <si>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</si>
  <si>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</si>
  <si>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</si>
  <si>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</si>
  <si>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</si>
  <si>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</si>
  <si>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</si>
  <si>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</si>
  <si>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</si>
  <si>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</si>
  <si>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</si>
  <si>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</si>
  <si>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</si>
  <si>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</si>
  <si>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</si>
  <si>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</si>
  <si>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</si>
  <si>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</si>
  <si>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</si>
  <si>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</si>
  <si>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</si>
  <si>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</si>
  <si>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</si>
  <si>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</si>
  <si>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</si>
  <si>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</si>
  <si>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</si>
  <si>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</si>
  <si>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</si>
  <si>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</si>
  <si>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</si>
  <si>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</si>
  <si>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</si>
  <si>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</si>
  <si>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</si>
  <si>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</si>
  <si>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</si>
  <si>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</si>
  <si>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</si>
  <si>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</si>
  <si>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</si>
  <si>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</si>
  <si>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</si>
  <si>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</si>
  <si>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</si>
  <si>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</si>
  <si>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</si>
  <si>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</si>
  <si>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</si>
  <si>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</si>
  <si>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</si>
  <si>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</si>
  <si>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</si>
  <si>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</si>
  <si>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</si>
  <si>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</si>
  <si>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</si>
  <si>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</si>
  <si>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</si>
  <si>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</si>
  <si>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</si>
  <si>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</si>
  <si>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</si>
  <si>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</si>
  <si>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</si>
  <si>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</si>
  <si>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</si>
  <si>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</si>
  <si>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</si>
  <si>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</si>
  <si>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</si>
  <si>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</si>
  <si>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</si>
  <si>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</si>
  <si>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</si>
  <si>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</si>
  <si>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</si>
  <si>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</si>
  <si>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</si>
  <si>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</si>
  <si>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</si>
  <si>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</si>
  <si>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</si>
  <si>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</si>
  <si>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</si>
  <si>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</si>
  <si>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</si>
  <si>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</si>
  <si>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</si>
  <si>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</si>
  <si>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</si>
  <si>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</si>
  <si>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</si>
  <si>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</si>
  <si>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</si>
  <si>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</si>
  <si>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</si>
  <si>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</si>
  <si>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</si>
  <si>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</si>
  <si>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</si>
  <si>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</si>
  <si>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</si>
  <si>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</si>
  <si>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</si>
  <si>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</si>
  <si>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</si>
  <si>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</si>
  <si>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</si>
  <si>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</si>
  <si>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</si>
  <si>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</si>
  <si>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</si>
  <si>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</si>
  <si>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</si>
  <si>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</si>
  <si>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</si>
  <si>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</si>
  <si>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</si>
  <si>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</si>
  <si>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</si>
  <si>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</si>
  <si>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</si>
  <si>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</si>
  <si>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</si>
  <si>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</si>
  <si>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</si>
  <si>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</si>
  <si>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</si>
  <si>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</si>
  <si>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</si>
  <si>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</si>
  <si>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</si>
  <si>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</si>
  <si>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</si>
  <si>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</si>
  <si>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</si>
  <si>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</si>
  <si>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</si>
  <si>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</si>
  <si>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</si>
  <si>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</si>
  <si>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</si>
  <si>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</si>
  <si>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</si>
  <si>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</si>
  <si>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</si>
  <si>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</si>
  <si>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</si>
  <si>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</si>
  <si>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</si>
  <si>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</si>
  <si>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</si>
  <si>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</si>
  <si>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</si>
  <si>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</si>
  <si>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</si>
  <si>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</si>
  <si>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</si>
  <si>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</si>
  <si>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</si>
  <si>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</si>
  <si>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</si>
  <si>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</si>
  <si>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</si>
  <si>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</si>
  <si>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</si>
  <si>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</si>
  <si>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</si>
  <si>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</si>
  <si>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</si>
  <si>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</si>
  <si>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</si>
  <si>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</si>
  <si>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</si>
  <si>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</si>
  <si>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</si>
  <si>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</si>
  <si>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</si>
  <si>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</si>
  <si>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</si>
  <si>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</si>
  <si>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</si>
  <si>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</si>
  <si>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</si>
  <si>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</si>
  <si>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</si>
  <si>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</si>
  <si>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</si>
  <si>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</si>
  <si>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</si>
  <si>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</si>
  <si>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</si>
  <si>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</si>
  <si>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</si>
  <si>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</si>
  <si>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</si>
  <si>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</si>
  <si>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</si>
  <si>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</si>
  <si>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</si>
  <si>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</si>
  <si>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</si>
  <si>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</si>
  <si>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</si>
  <si>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</si>
  <si>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</si>
  <si>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</si>
  <si>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</si>
  <si>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</si>
  <si>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</si>
  <si>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</si>
  <si>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</si>
  <si>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</si>
  <si>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</si>
  <si>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</si>
  <si>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</si>
  <si>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</si>
  <si>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</si>
  <si>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</si>
  <si>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</si>
  <si>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</si>
  <si>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</si>
  <si>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</si>
  <si>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</si>
  <si>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</si>
  <si>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</si>
  <si>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</si>
  <si>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</si>
  <si>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</si>
  <si>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</si>
  <si>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</si>
  <si>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</si>
  <si>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</si>
  <si>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</si>
  <si>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</si>
  <si>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</si>
  <si>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</si>
  <si>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</si>
  <si>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</si>
  <si>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</si>
  <si>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</si>
  <si>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</si>
  <si>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</si>
  <si>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</si>
  <si>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</si>
  <si>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</si>
  <si>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</si>
  <si>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</si>
  <si>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</si>
  <si>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</si>
  <si>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</si>
  <si>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</si>
  <si>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</si>
  <si>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</si>
  <si>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</si>
  <si>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</si>
  <si>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</si>
  <si>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</si>
  <si>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</si>
  <si>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</si>
  <si>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</si>
  <si>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</si>
  <si>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</si>
  <si>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</si>
  <si>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</si>
  <si>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</si>
  <si>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</si>
  <si>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</si>
  <si>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</si>
  <si>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</si>
  <si>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</si>
  <si>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</si>
  <si>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</si>
  <si>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</si>
  <si>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</si>
  <si>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</si>
  <si>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</si>
  <si>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</si>
  <si>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</si>
  <si>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</si>
  <si>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</si>
  <si>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</si>
  <si>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</si>
  <si>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</si>
  <si>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</si>
  <si>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</si>
  <si>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</si>
  <si>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</si>
  <si>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</si>
  <si>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</si>
  <si>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</si>
  <si>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</si>
  <si>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</si>
  <si>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</si>
  <si>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</si>
  <si>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</si>
  <si>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</si>
  <si>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</si>
  <si>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</si>
  <si>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</si>
  <si>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</si>
  <si>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</si>
  <si>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</si>
  <si>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</si>
  <si>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</si>
  <si>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</si>
  <si>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</si>
  <si>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</si>
  <si>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</si>
  <si>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</si>
  <si>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</si>
  <si>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</si>
  <si>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</si>
  <si>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</si>
  <si>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</si>
  <si>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</si>
  <si>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</si>
  <si>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</si>
  <si>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</si>
  <si>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</si>
  <si>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</si>
  <si>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</si>
  <si>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</si>
  <si>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</si>
  <si>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</si>
  <si>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</si>
  <si>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</si>
  <si>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</si>
  <si>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</si>
  <si>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</si>
  <si>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</si>
  <si>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</si>
  <si>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</si>
  <si>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</si>
  <si>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</si>
  <si>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</si>
  <si>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</si>
  <si>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</si>
  <si>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</si>
  <si>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</si>
  <si>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</si>
  <si>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</si>
  <si>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</si>
  <si>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</si>
  <si>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</si>
  <si>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</si>
  <si>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</si>
  <si>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</si>
  <si>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</si>
  <si>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</si>
  <si>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</si>
  <si>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</si>
  <si>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</si>
  <si>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</si>
  <si>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</si>
  <si>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</si>
  <si>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</si>
  <si>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</si>
  <si>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</si>
  <si>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</si>
  <si>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</si>
  <si>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</si>
  <si>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</si>
  <si>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</si>
  <si>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</si>
  <si>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</si>
  <si>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</si>
  <si>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</si>
  <si>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</si>
  <si>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</si>
  <si>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</si>
  <si>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</si>
  <si>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</si>
  <si>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</si>
  <si>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</si>
  <si>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</si>
  <si>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</si>
  <si>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</si>
  <si>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</si>
  <si>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</si>
  <si>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</si>
  <si>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</si>
  <si>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</si>
  <si>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</si>
  <si>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</si>
  <si>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</si>
  <si>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</si>
  <si>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</si>
  <si>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</si>
  <si>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</si>
  <si>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</si>
  <si>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</si>
  <si>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</si>
  <si>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</si>
  <si>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</si>
  <si>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</si>
  <si>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</si>
  <si>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</si>
  <si>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</si>
  <si>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</si>
  <si>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</si>
  <si>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</si>
  <si>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</si>
  <si>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</si>
  <si>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</si>
  <si>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</si>
  <si>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</si>
  <si>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</si>
  <si>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</si>
  <si>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</si>
  <si>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</si>
  <si>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</si>
  <si>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</si>
  <si>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</si>
  <si>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</si>
  <si>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</si>
  <si>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</si>
  <si>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</si>
  <si>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</si>
  <si>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</si>
  <si>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</si>
  <si>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</si>
  <si>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</si>
  <si>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</si>
  <si>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</si>
  <si>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</si>
  <si>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</si>
  <si>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</si>
  <si>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</si>
  <si>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</si>
  <si>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</si>
  <si>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</si>
  <si>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</si>
  <si>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</si>
  <si>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</si>
  <si>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</si>
  <si>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</si>
  <si>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</si>
  <si>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</si>
  <si>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</si>
  <si>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</si>
  <si>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</si>
  <si>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</si>
  <si>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</si>
  <si>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</si>
  <si>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</si>
  <si>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</si>
  <si>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</si>
  <si>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</si>
  <si>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</si>
  <si>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</si>
  <si>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</si>
  <si>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</si>
  <si>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</si>
  <si>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</si>
  <si>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</si>
  <si>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</si>
  <si>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</si>
  <si>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</si>
  <si>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</si>
  <si>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</si>
  <si>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</si>
  <si>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</si>
  <si>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</si>
  <si>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</si>
  <si>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</si>
  <si>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</si>
  <si>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</si>
  <si>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</si>
  <si>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</si>
  <si>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</si>
  <si>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</si>
  <si>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</si>
  <si>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</si>
  <si>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</si>
  <si>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</si>
  <si>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</si>
  <si>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</si>
  <si>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</si>
  <si>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</si>
  <si>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</si>
  <si>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</si>
  <si>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</si>
  <si>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</si>
  <si>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</si>
  <si>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</si>
  <si>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</si>
  <si>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</si>
  <si>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</si>
  <si>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</si>
  <si>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</si>
  <si>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</si>
  <si>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</si>
  <si>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</si>
  <si>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</si>
  <si>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</si>
  <si>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</si>
  <si>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</si>
  <si>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</si>
  <si>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</si>
  <si>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</si>
  <si>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</si>
  <si>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</si>
  <si>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</si>
  <si>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</si>
  <si>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</si>
  <si>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</si>
  <si>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</si>
  <si>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</si>
  <si>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</si>
  <si>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</si>
  <si>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</si>
  <si>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</si>
  <si>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</si>
  <si>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</si>
  <si>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</si>
  <si>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</si>
  <si>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</si>
  <si>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</si>
  <si>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</si>
  <si>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</si>
  <si>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</si>
  <si>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</si>
  <si>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</si>
  <si>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</si>
  <si>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</si>
  <si>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</si>
  <si>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</si>
  <si>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</si>
  <si>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</si>
  <si>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</si>
  <si>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</si>
  <si>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</si>
  <si>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</si>
  <si>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</si>
  <si>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</si>
  <si>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</si>
  <si>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</si>
  <si>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</si>
  <si>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</si>
  <si>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</si>
  <si>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</si>
  <si>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</si>
  <si>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</si>
  <si>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</si>
  <si>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</si>
  <si>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</si>
  <si>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</si>
  <si>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</si>
  <si>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</si>
  <si>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</si>
  <si>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</si>
  <si>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</si>
  <si>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</si>
  <si>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</si>
  <si>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</si>
  <si>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</si>
  <si>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</si>
  <si>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</si>
  <si>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</si>
  <si>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</si>
  <si>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</si>
  <si>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</si>
  <si>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</si>
  <si>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</si>
  <si>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</si>
  <si>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</si>
  <si>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</si>
  <si>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</si>
  <si>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</si>
  <si>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</si>
  <si>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</si>
  <si>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</si>
  <si>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</si>
  <si>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</si>
  <si>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</si>
  <si>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</si>
  <si>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</si>
  <si>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</si>
  <si>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</si>
  <si>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</si>
  <si>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</si>
  <si>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</si>
  <si>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</si>
  <si>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</si>
  <si>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</si>
  <si>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</si>
  <si>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</si>
  <si>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</si>
  <si>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</si>
  <si>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</si>
  <si>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</si>
  <si>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</si>
  <si>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</si>
  <si>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</si>
  <si>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</si>
  <si>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</si>
  <si>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</si>
  <si>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</si>
  <si>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</si>
  <si>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</si>
  <si>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</si>
  <si>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</si>
  <si>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</si>
  <si>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</si>
  <si>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</si>
  <si>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</si>
  <si>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</si>
  <si>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</si>
  <si>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</si>
  <si>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</si>
  <si>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</si>
  <si>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</si>
  <si>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</si>
  <si>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</si>
  <si>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</si>
  <si>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</si>
  <si>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</si>
  <si>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</si>
  <si>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</si>
  <si>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</si>
  <si>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</si>
  <si>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</si>
  <si>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</si>
  <si>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</si>
  <si>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</si>
  <si>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</si>
  <si>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</si>
  <si>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</si>
  <si>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</si>
  <si>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</si>
  <si>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</si>
  <si>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</si>
  <si>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</si>
  <si>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</si>
  <si>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</si>
  <si>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</si>
  <si>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</si>
  <si>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</si>
  <si>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</si>
  <si>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</si>
  <si>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</si>
  <si>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</si>
  <si>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</si>
  <si>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</si>
  <si>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</si>
  <si>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</si>
  <si>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</si>
  <si>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</si>
  <si>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</si>
  <si>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</si>
  <si>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</si>
  <si>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</si>
  <si>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</si>
  <si>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</si>
  <si>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</si>
  <si>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</si>
  <si>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</si>
  <si>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</si>
  <si>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</si>
  <si>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</si>
  <si>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</si>
  <si>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</si>
  <si>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</si>
  <si>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</si>
  <si>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</si>
  <si>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</si>
  <si>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</si>
  <si>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</si>
  <si>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</si>
  <si>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</si>
  <si>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</si>
  <si>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</si>
  <si>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</si>
  <si>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</si>
  <si>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</si>
  <si>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</si>
  <si>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</si>
  <si>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</si>
  <si>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</si>
  <si>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</si>
  <si>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</si>
  <si>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</si>
  <si>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</si>
  <si>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</si>
  <si>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</si>
  <si>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</si>
  <si>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</si>
  <si>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</si>
  <si>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</si>
  <si>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</si>
  <si>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</si>
  <si>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</si>
  <si>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</si>
  <si>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</si>
  <si>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</si>
  <si>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</si>
  <si>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</si>
  <si>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</si>
  <si>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</si>
  <si>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</si>
  <si>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</si>
  <si>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</si>
  <si>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</si>
  <si>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</si>
  <si>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</si>
  <si>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</si>
  <si>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</si>
  <si>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</si>
  <si>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</si>
  <si>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</si>
  <si>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</si>
  <si>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</si>
  <si>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</si>
  <si>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</si>
  <si>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</si>
  <si>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</si>
  <si>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</si>
  <si>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</si>
  <si>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</si>
  <si>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</si>
  <si>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</si>
  <si>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</si>
  <si>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</si>
  <si>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</si>
  <si>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</si>
  <si>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</si>
  <si>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</si>
  <si>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</si>
  <si>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</si>
  <si>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</si>
  <si>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</si>
  <si>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</si>
  <si>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</si>
  <si>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</si>
  <si>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</si>
  <si>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</si>
  <si>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</si>
  <si>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</si>
  <si>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</si>
  <si>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</si>
  <si>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</si>
  <si>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</si>
  <si>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</si>
  <si>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</si>
  <si>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</si>
  <si>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</si>
  <si>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</si>
  <si>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</si>
  <si>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</si>
  <si>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</si>
  <si>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</si>
  <si>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</si>
  <si>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</si>
  <si>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</si>
  <si>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</si>
  <si>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</si>
  <si>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</si>
  <si>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</si>
  <si>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</si>
  <si>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</si>
  <si>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</si>
  <si>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</si>
  <si>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</si>
  <si>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</si>
  <si>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</si>
  <si>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</si>
  <si>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</si>
  <si>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</si>
  <si>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</si>
  <si>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</si>
  <si>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</si>
  <si>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</si>
  <si>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</si>
  <si>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</si>
  <si>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</si>
  <si>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</si>
  <si>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</si>
  <si>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</si>
  <si>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</si>
  <si>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</si>
  <si>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</si>
  <si>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</si>
  <si>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</si>
  <si>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</si>
  <si>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</si>
  <si>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</si>
  <si>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</si>
  <si>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</si>
  <si>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</si>
  <si>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</si>
  <si>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</si>
  <si>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</si>
  <si>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</si>
  <si>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</si>
  <si>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</si>
  <si>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</si>
  <si>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</si>
  <si>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</si>
  <si>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</si>
  <si>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</si>
  <si>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</si>
  <si>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</si>
  <si>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</si>
  <si>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</si>
  <si>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</si>
  <si>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</si>
  <si>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</si>
  <si>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</si>
  <si>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</si>
  <si>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</si>
  <si>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</si>
  <si>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</si>
  <si>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</si>
  <si>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</si>
  <si>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</si>
  <si>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</si>
  <si>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</si>
  <si>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</si>
  <si>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</si>
  <si>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</si>
  <si>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</si>
  <si>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</si>
  <si>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</si>
  <si>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</si>
  <si>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</si>
  <si>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</si>
  <si>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</si>
  <si>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</si>
  <si>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</si>
  <si>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</si>
  <si>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</si>
  <si>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</si>
  <si>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</si>
  <si>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</si>
  <si>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</si>
  <si>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</si>
  <si>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</si>
  <si>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</si>
  <si>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</si>
  <si>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</si>
  <si>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</si>
  <si>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</si>
  <si>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</si>
  <si>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</si>
  <si>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</si>
  <si>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</si>
  <si>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</si>
  <si>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</si>
  <si>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</si>
  <si>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</si>
  <si>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</si>
  <si>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</si>
  <si>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</si>
  <si>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</si>
  <si>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</si>
  <si>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</si>
  <si>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</si>
  <si>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</si>
  <si>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</si>
  <si>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</si>
  <si>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</si>
  <si>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</si>
  <si>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</si>
  <si>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</si>
  <si>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</si>
  <si>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</si>
  <si>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</si>
  <si>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</si>
  <si>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</si>
  <si>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</si>
  <si>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</si>
  <si>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</si>
  <si>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</si>
  <si>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</si>
  <si>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</si>
  <si>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</si>
  <si>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</si>
  <si>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</si>
  <si>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</si>
  <si>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</si>
  <si>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</si>
  <si>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</si>
  <si>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</si>
  <si>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</si>
  <si>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</si>
  <si>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</si>
  <si>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</si>
  <si>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</si>
  <si>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</si>
  <si>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</si>
  <si>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</si>
  <si>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</si>
  <si>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</si>
  <si>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</si>
  <si>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</si>
  <si>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</si>
  <si>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</si>
  <si>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</si>
  <si>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</si>
  <si>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</si>
  <si>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</si>
  <si>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</si>
  <si>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</si>
  <si>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</si>
  <si>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</si>
  <si>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</si>
  <si>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</si>
  <si>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</si>
  <si>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</si>
  <si>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</si>
  <si>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</si>
  <si>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</si>
  <si>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</si>
  <si>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</si>
  <si>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</si>
  <si>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</si>
  <si>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</si>
  <si>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</si>
  <si>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</si>
  <si>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</si>
  <si>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</si>
  <si>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</si>
  <si>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</si>
  <si>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</si>
  <si>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</si>
  <si>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</si>
  <si>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</si>
  <si>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</si>
  <si>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</si>
  <si>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</si>
  <si>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</si>
  <si>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</si>
  <si>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</si>
  <si>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</si>
  <si>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</si>
  <si>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</si>
  <si>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</si>
  <si>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</si>
  <si>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</si>
  <si>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</si>
  <si>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</si>
  <si>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</si>
  <si>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</si>
  <si>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</si>
  <si>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</si>
  <si>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</si>
  <si>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</si>
  <si>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</si>
  <si>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</si>
  <si>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</si>
  <si>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</si>
  <si>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</si>
  <si>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</si>
  <si>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</si>
  <si>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</si>
  <si>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</si>
  <si>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</si>
  <si>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</si>
  <si>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</si>
  <si>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</si>
  <si>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</si>
  <si>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</si>
  <si>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</si>
  <si>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</si>
  <si>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</si>
  <si>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</si>
  <si>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</si>
  <si>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</si>
  <si>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</si>
  <si>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</si>
  <si>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</si>
  <si>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</si>
  <si>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</si>
  <si>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</si>
  <si>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</si>
  <si>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</si>
  <si>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</si>
  <si>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</si>
  <si>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</si>
  <si>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</si>
  <si>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</si>
  <si>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</si>
  <si>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</si>
  <si>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</si>
  <si>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</si>
  <si>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</si>
  <si>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</si>
  <si>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</si>
  <si>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</si>
  <si>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</si>
  <si>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</si>
  <si>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</si>
  <si>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</si>
  <si>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</si>
  <si>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</si>
  <si>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</si>
  <si>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</si>
  <si>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</si>
  <si>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</si>
  <si>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</si>
  <si>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</si>
  <si>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</si>
  <si>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</si>
  <si>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</si>
  <si>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</si>
  <si>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</si>
  <si>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</si>
  <si>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</si>
  <si>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</si>
  <si>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</si>
  <si>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</si>
  <si>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</si>
  <si>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</si>
  <si>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</si>
  <si>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</si>
  <si>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</si>
  <si>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</si>
  <si>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</si>
  <si>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</si>
  <si>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</si>
  <si>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</si>
  <si>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</si>
  <si>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</si>
  <si>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</si>
  <si>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</si>
  <si>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</si>
  <si>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</si>
  <si>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</si>
  <si>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</si>
  <si>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</si>
  <si>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</si>
  <si>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</si>
  <si>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</si>
  <si>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</si>
  <si>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</si>
  <si>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</si>
  <si>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</si>
  <si>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</si>
  <si>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</si>
  <si>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</si>
  <si>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</si>
  <si>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</si>
  <si>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</si>
  <si>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</si>
  <si>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</si>
  <si>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</si>
  <si>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</si>
  <si>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</si>
  <si>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</si>
  <si>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</si>
  <si>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</si>
  <si>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</si>
  <si>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</si>
  <si>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</si>
  <si>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</si>
  <si>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</si>
  <si>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</si>
  <si>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</si>
  <si>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</si>
  <si>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</si>
  <si>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</si>
  <si>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</si>
  <si>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</si>
  <si>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</si>
  <si>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</si>
  <si>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</si>
  <si>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</si>
  <si>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</si>
  <si>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</si>
  <si>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</si>
  <si>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</si>
  <si>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</si>
  <si>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</si>
  <si>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</si>
  <si>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</si>
  <si>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</si>
  <si>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</si>
  <si>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</si>
  <si>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</si>
  <si>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</si>
  <si>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</si>
  <si>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</si>
  <si>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</si>
  <si>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</si>
  <si>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</si>
  <si>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</si>
  <si>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</si>
  <si>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</si>
  <si>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</si>
  <si>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</si>
  <si>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</si>
  <si>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</si>
  <si>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</si>
  <si>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</si>
  <si>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</si>
  <si>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</si>
  <si>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</si>
  <si>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</si>
  <si>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</si>
  <si>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</si>
  <si>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</si>
  <si>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</si>
  <si>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</si>
  <si>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</si>
  <si>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</si>
  <si>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</si>
  <si>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</si>
  <si>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</si>
  <si>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</si>
  <si>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</si>
  <si>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</si>
  <si>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</si>
  <si>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</si>
  <si>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</si>
  <si>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</si>
  <si>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</si>
  <si>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</si>
  <si>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</si>
  <si>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</si>
  <si>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</si>
  <si>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</si>
  <si>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</si>
  <si>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</si>
  <si>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</si>
  <si>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</si>
  <si>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</si>
  <si>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</si>
  <si>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</si>
  <si>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</si>
  <si>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</si>
  <si>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</si>
  <si>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</si>
  <si>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</si>
  <si>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</si>
  <si>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</si>
  <si>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</si>
  <si>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</si>
  <si>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</si>
  <si>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</si>
  <si>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</si>
  <si>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</si>
  <si>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</si>
  <si>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</si>
  <si>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</si>
  <si>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</si>
  <si>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</si>
  <si>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</si>
  <si>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</si>
  <si>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</si>
  <si>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</si>
  <si>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</si>
  <si>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</si>
  <si>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</si>
  <si>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</si>
  <si>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</si>
  <si>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</si>
  <si>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</si>
  <si>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</si>
  <si>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</si>
  <si>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</si>
  <si>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</si>
  <si>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</si>
  <si>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</si>
  <si>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</si>
  <si>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</si>
  <si>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</si>
  <si>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</si>
  <si>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</si>
  <si>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</si>
  <si>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</si>
  <si>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</si>
  <si>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</si>
  <si>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</si>
  <si>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</si>
  <si>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</si>
  <si>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</si>
  <si>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</si>
  <si>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</si>
  <si>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</si>
  <si>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</si>
  <si>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</si>
  <si>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</si>
  <si>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</si>
  <si>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</si>
  <si>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</si>
  <si>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</si>
  <si>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</si>
  <si>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</si>
  <si>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</si>
  <si>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</si>
  <si>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</si>
  <si>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</si>
  <si>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</si>
  <si>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</si>
  <si>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</si>
  <si>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</si>
  <si>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</si>
  <si>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</si>
  <si>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</si>
  <si>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</si>
  <si>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</si>
  <si>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</si>
  <si>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</si>
  <si>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</si>
  <si>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</si>
  <si>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</si>
  <si>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</si>
  <si>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</si>
  <si>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</si>
  <si>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</si>
  <si>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</si>
  <si>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</si>
  <si>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</si>
  <si>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</si>
  <si>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</si>
  <si>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</si>
  <si>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</si>
  <si>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</si>
  <si>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</si>
  <si>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</si>
  <si>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</si>
  <si>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</si>
  <si>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</si>
  <si>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</si>
  <si>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</si>
  <si>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</si>
  <si>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</si>
  <si>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</si>
  <si>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</si>
  <si>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</si>
  <si>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</si>
  <si>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</si>
  <si>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</si>
  <si>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</si>
  <si>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</si>
  <si>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</si>
  <si>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</si>
  <si>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</si>
  <si>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</si>
  <si>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</si>
  <si>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</si>
  <si>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</si>
  <si>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</si>
  <si>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</si>
  <si>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</si>
  <si>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</si>
  <si>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</si>
  <si>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</si>
  <si>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</si>
  <si>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</si>
  <si>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</si>
  <si>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</si>
  <si>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</si>
  <si>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</si>
  <si>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</si>
  <si>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</si>
  <si>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</si>
  <si>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</si>
  <si>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</si>
  <si>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</si>
  <si>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</si>
  <si>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</si>
  <si>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</si>
  <si>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</si>
  <si>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</si>
  <si>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</si>
  <si>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</si>
  <si>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</si>
  <si>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</si>
  <si>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</si>
  <si>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</si>
  <si>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</si>
  <si>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</si>
  <si>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</si>
  <si>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</si>
  <si>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</si>
  <si>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</si>
  <si>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</si>
  <si>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</si>
  <si>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</si>
  <si>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</si>
  <si>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</si>
  <si>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</si>
  <si>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</si>
  <si>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</si>
  <si>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</si>
  <si>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</si>
  <si>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</si>
  <si>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</si>
  <si>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</si>
  <si>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</si>
  <si>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</si>
  <si>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</si>
  <si>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</si>
  <si>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</si>
  <si>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</si>
  <si>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</si>
  <si>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</si>
  <si>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</si>
  <si>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</si>
  <si>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</si>
  <si>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</si>
  <si>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</si>
  <si>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</si>
  <si>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</si>
  <si>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</si>
  <si>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</si>
  <si>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</si>
  <si>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</si>
  <si>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</si>
  <si>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</si>
  <si>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</si>
  <si>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</si>
  <si>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</si>
  <si>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</si>
  <si>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</si>
  <si>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</si>
  <si>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</si>
  <si>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</si>
  <si>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</si>
  <si>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</si>
  <si>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</si>
  <si>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</si>
  <si>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</si>
  <si>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</si>
  <si>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</si>
  <si>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</si>
  <si>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</si>
  <si>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</si>
  <si>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</si>
  <si>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</si>
  <si>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</si>
  <si>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</si>
  <si>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</si>
  <si>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</si>
  <si>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</si>
  <si>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</si>
  <si>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</si>
  <si>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</si>
  <si>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</si>
  <si>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</si>
  <si>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</si>
  <si>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</si>
  <si>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</si>
  <si>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</si>
  <si>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</si>
  <si>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</si>
  <si>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</si>
  <si>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</si>
  <si>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</si>
  <si>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</si>
  <si>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</si>
  <si>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</si>
  <si>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</si>
  <si>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</si>
  <si>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</si>
  <si>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</si>
  <si>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</si>
  <si>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</si>
  <si>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</si>
  <si>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</si>
  <si>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</si>
  <si>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</si>
  <si>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</si>
  <si>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</si>
  <si>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</si>
  <si>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</si>
  <si>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</si>
  <si>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</si>
  <si>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</si>
  <si>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</si>
  <si>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</si>
  <si>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</si>
  <si>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</si>
  <si>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</si>
  <si>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</si>
  <si>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</si>
  <si>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</si>
  <si>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</si>
  <si>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</si>
  <si>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</si>
  <si>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</si>
  <si>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</si>
  <si>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</si>
  <si>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</si>
  <si>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</si>
  <si>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</si>
  <si>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</si>
  <si>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</si>
  <si>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</si>
  <si>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</si>
  <si>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</si>
  <si>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</si>
  <si>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</si>
  <si>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</si>
  <si>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</si>
  <si>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</si>
  <si>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</si>
  <si>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</si>
  <si>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</si>
  <si>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</si>
  <si>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</si>
  <si>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</si>
  <si>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</si>
  <si>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</si>
  <si>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</si>
  <si>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</si>
  <si>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</si>
  <si>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</si>
  <si>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</si>
  <si>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</si>
  <si>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</si>
  <si>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</si>
  <si>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</si>
  <si>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</si>
  <si>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</si>
  <si>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</si>
  <si>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</si>
  <si>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</si>
  <si>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</si>
  <si>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</si>
  <si>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</si>
  <si>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</si>
  <si>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</si>
  <si>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</si>
  <si>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</si>
  <si>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</si>
  <si>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</si>
  <si>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</si>
  <si>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</si>
  <si>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</si>
  <si>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</si>
  <si>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</si>
  <si>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</si>
  <si>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</si>
  <si>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</si>
  <si>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</si>
  <si>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</si>
  <si>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</si>
  <si>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</si>
  <si>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</si>
  <si>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</si>
  <si>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</si>
  <si>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</si>
  <si>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</si>
  <si>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</si>
  <si>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</si>
  <si>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</si>
  <si>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</si>
  <si>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</si>
  <si>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</si>
  <si>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</si>
  <si>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</si>
  <si>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</si>
  <si>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</si>
  <si>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</si>
  <si>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</si>
  <si>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</si>
  <si>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</si>
  <si>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</si>
  <si>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</si>
  <si>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</si>
  <si>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</si>
  <si>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</si>
  <si>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</si>
  <si>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</si>
  <si>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</si>
  <si>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</si>
  <si>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</si>
  <si>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</si>
  <si>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</si>
  <si>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</si>
  <si>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</si>
  <si>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</si>
  <si>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</si>
  <si>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</si>
  <si>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</si>
  <si>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</si>
  <si>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</si>
  <si>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</si>
  <si>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</si>
  <si>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</si>
  <si>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</si>
  <si>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</si>
  <si>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</si>
  <si>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</si>
  <si>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</si>
  <si>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</si>
  <si>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</si>
  <si>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</si>
  <si>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</si>
  <si>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</si>
  <si>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</si>
  <si>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</si>
  <si>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</si>
  <si>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</si>
  <si>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</si>
  <si>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</si>
  <si>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</si>
  <si>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</si>
  <si>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</si>
  <si>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</si>
  <si>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</si>
  <si>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</si>
  <si>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</si>
  <si>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</si>
  <si>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</si>
  <si>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</si>
  <si>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</si>
  <si>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</si>
  <si>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</si>
  <si>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</si>
  <si>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</si>
  <si>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</si>
  <si>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</si>
  <si>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</si>
  <si>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</si>
  <si>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</si>
  <si>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</si>
  <si>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</si>
  <si>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</si>
  <si>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</si>
  <si>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</si>
  <si>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</si>
  <si>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</si>
  <si>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</si>
  <si>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</si>
  <si>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</si>
  <si>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</si>
  <si>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</si>
  <si>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</si>
  <si>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</si>
  <si>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</si>
  <si>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</si>
  <si>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</si>
  <si>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</si>
  <si>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</si>
  <si>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</si>
  <si>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</si>
  <si>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</si>
  <si>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</si>
  <si>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</si>
  <si>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</si>
  <si>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</si>
  <si>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</si>
  <si>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</si>
  <si>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</si>
  <si>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</si>
  <si>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</si>
  <si>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</si>
  <si>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</si>
  <si>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</si>
  <si>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</si>
  <si>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</si>
  <si>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</si>
  <si>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</si>
  <si>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</si>
  <si>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</si>
  <si>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</si>
  <si>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</si>
  <si>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</si>
  <si>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</si>
  <si>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</si>
  <si>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</si>
  <si>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</si>
  <si>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</si>
  <si>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</si>
  <si>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</si>
  <si>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</si>
  <si>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</si>
  <si>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</si>
  <si>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</si>
  <si>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</si>
  <si>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</si>
  <si>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</si>
  <si>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</si>
  <si>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</si>
  <si>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</si>
  <si>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</si>
  <si>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</si>
  <si>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</si>
  <si>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</si>
  <si>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</si>
  <si>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</si>
  <si>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</si>
  <si>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</si>
  <si>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</si>
  <si>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</si>
  <si>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</si>
  <si>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</si>
  <si>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</si>
  <si>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</si>
  <si>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</si>
  <si>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</si>
  <si>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</si>
  <si>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</si>
  <si>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</si>
  <si>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</si>
  <si>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</si>
  <si>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</si>
  <si>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</si>
  <si>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</si>
  <si>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</si>
  <si>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</si>
  <si>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</si>
  <si>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</si>
  <si>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</si>
  <si>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</si>
  <si>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</si>
  <si>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</si>
  <si>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</si>
  <si>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</si>
  <si>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</si>
  <si>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</si>
  <si>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</si>
  <si>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</si>
  <si>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</si>
  <si>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</si>
  <si>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</si>
  <si>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</si>
  <si>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</si>
  <si>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</si>
  <si>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</si>
  <si>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</si>
  <si>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</si>
  <si>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</si>
  <si>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</si>
  <si>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</si>
  <si>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</si>
  <si>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</si>
  <si>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</si>
  <si>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</si>
  <si>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</si>
  <si>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</si>
  <si>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</si>
  <si>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</si>
  <si>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</si>
  <si>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</si>
  <si>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</si>
  <si>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</si>
  <si>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</si>
  <si>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</si>
  <si>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</si>
  <si>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</si>
  <si>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</si>
  <si>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</si>
  <si>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</si>
  <si>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</si>
  <si>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</si>
  <si>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</si>
  <si>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</si>
  <si>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</si>
  <si>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</si>
  <si>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</si>
  <si>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</si>
  <si>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</si>
  <si>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</si>
  <si>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</si>
  <si>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</si>
  <si>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</si>
  <si>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</si>
  <si>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</si>
  <si>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</si>
  <si>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</si>
  <si>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</si>
  <si>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</si>
  <si>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</si>
  <si>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</si>
  <si>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</si>
  <si>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</si>
  <si>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</si>
  <si>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</si>
  <si>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</si>
  <si>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</si>
  <si>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</si>
  <si>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</si>
  <si>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</si>
  <si>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</si>
  <si>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</si>
  <si>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</si>
  <si>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</si>
  <si>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</si>
  <si>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</si>
  <si>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</si>
  <si>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</si>
  <si>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</si>
  <si>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</si>
  <si>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</si>
  <si>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</si>
  <si>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</si>
  <si>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</si>
  <si>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</si>
  <si>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Arnaud Corbarieu</t>
  </si>
  <si>
    <t xml:space="preserve">conforme AFNOR T90-395 oct. 2003</t>
  </si>
  <si>
    <t xml:space="preserve">Pallas</t>
  </si>
  <si>
    <t xml:space="preserve">Loupian</t>
  </si>
  <si>
    <t xml:space="preserve">06188900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</si>
  <si>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</si>
  <si>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</si>
  <si>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</si>
  <si>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</si>
  <si>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</si>
  <si>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</si>
  <si>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</si>
  <si>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</si>
  <si>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</si>
  <si>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</si>
  <si>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</si>
  <si>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</si>
  <si>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</si>
  <si>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</si>
  <si>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</si>
  <si>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</si>
  <si>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</si>
  <si>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</si>
  <si>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</si>
  <si>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</si>
  <si>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</si>
  <si>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</si>
  <si>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</si>
  <si>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</si>
  <si>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</si>
  <si>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</si>
  <si>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</si>
  <si>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</si>
  <si>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</si>
  <si>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</si>
  <si>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</si>
  <si>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</si>
  <si>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</si>
  <si>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</si>
  <si>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</si>
  <si>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</si>
  <si>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</si>
  <si>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</si>
  <si>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</si>
  <si>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</si>
  <si>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</si>
  <si>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</si>
  <si>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</si>
  <si>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</si>
  <si>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</si>
  <si>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</si>
  <si>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</si>
  <si>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</si>
  <si>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</si>
  <si>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</si>
  <si>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(79,3315 %)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</si>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</sst>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41397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8.59259259259259</v>
      </c>
      <c r="M5" s="323"/>
      <c r="N5" s="324" t="s">
        <v>1882</v>
      </c>
      <c r="O5" s="325" t="n">
        <v>8.34782608695652</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38</v>
      </c>
      <c r="C7" s="337" t="n">
        <v>62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8.11111111111111</v>
      </c>
      <c r="O8" s="354" t="n">
        <f aca="false">IF(ISERROR(AVERAGE(J23:J82)),"      -",AVERAGE(J23:J82))</f>
        <v>1.44444444444444</v>
      </c>
      <c r="P8" s="355"/>
      <c r="Q8" s="280"/>
      <c r="R8" s="280"/>
      <c r="S8" s="280"/>
      <c r="T8" s="280"/>
      <c r="U8" s="280"/>
      <c r="V8" s="280"/>
      <c r="W8" s="292"/>
      <c r="X8" s="293"/>
    </row>
    <row r="9" customFormat="false" ht="13.5" hidden="false" customHeight="false" outlineLevel="0" collapsed="false">
      <c r="A9" s="313" t="s">
        <v>2635</v>
      </c>
      <c r="B9" s="356" t="n">
        <v>58.5</v>
      </c>
      <c r="C9" s="357" t="n">
        <v>92.1</v>
      </c>
      <c r="D9" s="358"/>
      <c r="E9" s="358"/>
      <c r="F9" s="359" t="n">
        <f aca="false">($B9*$B$7+$C9*$C$7)/100</f>
        <v>79.332</v>
      </c>
      <c r="G9" s="360"/>
      <c r="H9" s="361"/>
      <c r="I9" s="362"/>
      <c r="J9" s="363"/>
      <c r="K9" s="343"/>
      <c r="L9" s="364"/>
      <c r="M9" s="353" t="s">
        <v>2636</v>
      </c>
      <c r="N9" s="354" t="n">
        <f aca="false">IF(ISERROR(STDEVP(I23:I82)),"     -",STDEVP(I23:I82))</f>
        <v>2.72618758808562</v>
      </c>
      <c r="O9" s="354" t="n">
        <f aca="false">IF(ISERROR(STDEVP(J23:J82)),"      -",STDEVP(J23:J82))</f>
        <v>0.496903994999953</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4</v>
      </c>
      <c r="O10" s="376" t="n">
        <f aca="false">MIN(J23:J82)</f>
        <v>1</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11</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2</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2</v>
      </c>
      <c r="L13" s="386"/>
      <c r="M13" s="397" t="s">
        <v>2648</v>
      </c>
      <c r="N13" s="398" t="n">
        <f aca="false">COUNTIF(F23:F82,"&gt;0")</f>
        <v>14</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9</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10</v>
      </c>
      <c r="L15" s="386"/>
      <c r="M15" s="407" t="s">
        <v>2654</v>
      </c>
      <c r="N15" s="408" t="n">
        <f aca="false">COUNTIF(J23:J82,"=1")</f>
        <v>5</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58.515</v>
      </c>
      <c r="C20" s="436" t="n">
        <f aca="false">SUM(C23:C82)</f>
        <v>92.09</v>
      </c>
      <c r="D20" s="437"/>
      <c r="E20" s="438" t="s">
        <v>2660</v>
      </c>
      <c r="F20" s="439" t="n">
        <f aca="false">($B20*$B$7+$C20*$C$7)/100</f>
        <v>79.3315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22.2357</v>
      </c>
      <c r="C21" s="449" t="n">
        <f aca="false">C20*C7/100</f>
        <v>57.0958</v>
      </c>
      <c r="D21" s="381" t="str">
        <f aca="false">IF(F21=0,"",IF((ABS(F21-F19))&gt;(0.2*F21),CONCATENATE(" rec. par taxa (",F21," %) supérieur à 20 % !"),""))</f>
        <v> rec. par taxa (79,3315 %) supérieur à 20 % !</v>
      </c>
      <c r="E21" s="450" t="str">
        <f aca="false">IF(F21=0,"",IF((ABS(F21-F19))&gt;(0.2*F21),CONCATENATE("ATTENTION : écart entre rec. par grp (",F19," %) ","et",""),""))</f>
        <v>ATTENTION : écart entre rec. par grp (0 %) et</v>
      </c>
      <c r="F21" s="451" t="n">
        <f aca="false">B21+C21</f>
        <v>79.3315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241</v>
      </c>
      <c r="B23" s="475" t="n">
        <v>0.005</v>
      </c>
      <c r="C23" s="476" t="n">
        <v>0.005</v>
      </c>
      <c r="D23" s="477" t="str">
        <f aca="false">IF(ISERROR(VLOOKUP($A23,'[1]liste reference'!$A$7:$D$904,2,0)),IF(ISERROR(VLOOKUP($A23,'[1]liste reference'!$B$7:$D$904,1,0)),"",VLOOKUP($A23,'[1]liste reference'!$B$7:$D$904,1,0)),VLOOKUP($A23,'[1]liste reference'!$A$7:$D$904,2,0))</f>
        <v>Rhizoclonium sp.</v>
      </c>
      <c r="E23" s="477" t="e">
        <f aca="false">IF(D23="",0,VLOOKUP(D23,D$22:D22,1,0))</f>
        <v>#N/A</v>
      </c>
      <c r="F23" s="478" t="n">
        <f aca="false">($B23*$B$7+$C23*$C$7)/100</f>
        <v>0.005</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4</v>
      </c>
      <c r="J23" s="481" t="n">
        <f aca="false">IF(ISNUMBER(H23),IF(ISERROR(VLOOKUP($A23,'[1]liste reference'!$A$7:$P$904,4,0)),IF(ISERROR(VLOOKUP($A23,'[1]liste reference'!$B$7:$P$904,3,0)),"",VLOOKUP($A23,'[1]liste reference'!$B$7:$P$904,3,0)),VLOOKUP($A23,'[1]liste reference'!$A$7:$P$904,4,0)),"")</f>
        <v>2</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Rhizoclonium sp.</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1125</v>
      </c>
      <c r="Q23" s="486" t="n">
        <f aca="false">IF(ISTEXT(H23),"",(B23*$B$7/100)+(C23*$C$7/100))</f>
        <v>0.005</v>
      </c>
      <c r="R23" s="487" t="n">
        <f aca="false">IF(OR(ISTEXT(H23),Q23=0),"",IF(Q23&lt;0.1,1,IF(Q23&lt;1,2,IF(Q23&lt;10,3,IF(Q23&lt;50,4,IF(Q23&gt;=50,5,""))))))</f>
        <v>1</v>
      </c>
      <c r="S23" s="487" t="n">
        <f aca="false">IF(ISERROR(R23*I23),0,R23*I23)</f>
        <v>4</v>
      </c>
      <c r="T23" s="487" t="n">
        <f aca="false">IF(ISERROR(R23*I23*J23),0,R23*I23*J23)</f>
        <v>8</v>
      </c>
      <c r="U23" s="487" t="n">
        <f aca="false">IF(ISERROR(R23*J23),0,R23*J23)</f>
        <v>2</v>
      </c>
      <c r="V23" s="488" t="str">
        <f aca="false">IF(AND(A23="",F23=0),"",IF(F23=0,"Il manque le(s) % de rec. !",""))</f>
        <v/>
      </c>
      <c r="W23" s="489"/>
      <c r="Y23" s="490" t="str">
        <f aca="false">IF(A23="new.cod","NEWCOD",IF(AND((Z23=""),ISTEXT(A23)),A23,IF(Z23="","",INDEX('[1]liste reference'!$A$8:$A$904,Z23))))</f>
        <v>RHISPX</v>
      </c>
      <c r="Z23" s="280" t="n">
        <f aca="false">IF(ISERROR(MATCH(A23,'[1]liste reference'!$A$8:$A$904,0)),IF(ISERROR(MATCH(A23,'[1]liste reference'!$B$8:$B$904,0)),"",(MATCH(A23,'[1]liste reference'!$B$8:$B$904,0))),(MATCH(A23,'[1]liste reference'!$A$8:$A$904,0)))</f>
        <v>62</v>
      </c>
      <c r="AA23" s="491"/>
      <c r="AB23" s="492"/>
      <c r="AC23" s="492"/>
      <c r="BB23" s="280" t="n">
        <f aca="false">IF(A23="","",1)</f>
        <v>1</v>
      </c>
    </row>
    <row r="24" customFormat="false" ht="12.75" hidden="false" customHeight="false" outlineLevel="0" collapsed="false">
      <c r="A24" s="493" t="s">
        <v>301</v>
      </c>
      <c r="B24" s="494" t="n">
        <v>11</v>
      </c>
      <c r="C24" s="495" t="n">
        <v>2.5</v>
      </c>
      <c r="D24" s="477" t="str">
        <f aca="false">IF(ISERROR(VLOOKUP($A24,'[1]liste reference'!$A$7:$D$904,2,0)),IF(ISERROR(VLOOKUP($A24,'[1]liste reference'!$B$7:$D$904,1,0)),"",VLOOKUP($A24,'[1]liste reference'!$B$7:$D$904,1,0)),VLOOKUP($A24,'[1]liste reference'!$A$7:$D$904,2,0))</f>
        <v>Vaucheria sp.</v>
      </c>
      <c r="E24" s="496" t="e">
        <f aca="false">IF(D24="",0,VLOOKUP(D24,D$22:D23,1,0))</f>
        <v>#N/A</v>
      </c>
      <c r="F24" s="497" t="n">
        <f aca="false">($B24*$B$7+$C24*$C$7)/100</f>
        <v>5.73</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4</v>
      </c>
      <c r="J24" s="481" t="n">
        <f aca="false">IF(ISNUMBER(H24),IF(ISERROR(VLOOKUP($A24,'[1]liste reference'!$A$7:$P$904,4,0)),IF(ISERROR(VLOOKUP($A24,'[1]liste reference'!$B$7:$P$904,3,0)),"",VLOOKUP($A24,'[1]liste reference'!$B$7:$P$904,3,0)),VLOOKUP($A24,'[1]liste reference'!$A$7:$P$904,4,0)),"")</f>
        <v>1</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Vaucheria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6193</v>
      </c>
      <c r="Q24" s="486" t="n">
        <f aca="false">IF(ISTEXT(H24),"",(B24*$B$7/100)+(C24*$C$7/100))</f>
        <v>5.73</v>
      </c>
      <c r="R24" s="487" t="n">
        <f aca="false">IF(OR(ISTEXT(H24),Q24=0),"",IF(Q24&lt;0.1,1,IF(Q24&lt;1,2,IF(Q24&lt;10,3,IF(Q24&lt;50,4,IF(Q24&gt;=50,5,""))))))</f>
        <v>3</v>
      </c>
      <c r="S24" s="487" t="n">
        <f aca="false">IF(ISERROR(R24*I24),0,R24*I24)</f>
        <v>12</v>
      </c>
      <c r="T24" s="487" t="n">
        <f aca="false">IF(ISERROR(R24*I24*J24),0,R24*I24*J24)</f>
        <v>12</v>
      </c>
      <c r="U24" s="499" t="n">
        <f aca="false">IF(ISERROR(R24*J24),0,R24*J24)</f>
        <v>3</v>
      </c>
      <c r="V24" s="488" t="str">
        <f aca="false">IF(AND(A24="",F24=0),"",IF(F24=0,"Il manque le(s) % de rec. !",""))</f>
        <v/>
      </c>
      <c r="W24" s="489"/>
      <c r="X24" s="489"/>
      <c r="Y24" s="490" t="str">
        <f aca="false">IF(A24="new.cod","NEWCOD",IF(AND((Z24=""),ISTEXT(A24)),A24,IF(Z24="","",INDEX('[1]liste reference'!$A$8:$A$904,Z24))))</f>
        <v>VAUSPX</v>
      </c>
      <c r="Z24" s="280" t="n">
        <f aca="false">IF(ISERROR(MATCH(A24,'[1]liste reference'!$A$8:$A$904,0)),IF(ISERROR(MATCH(A24,'[1]liste reference'!$B$8:$B$904,0)),"",(MATCH(A24,'[1]liste reference'!$B$8:$B$904,0))),(MATCH(A24,'[1]liste reference'!$A$8:$A$904,0)))</f>
        <v>82</v>
      </c>
      <c r="AA24" s="491"/>
      <c r="AB24" s="492"/>
      <c r="AC24" s="492"/>
      <c r="BB24" s="280" t="n">
        <f aca="false">IF(A24="","",1)</f>
        <v>1</v>
      </c>
    </row>
    <row r="25" customFormat="false" ht="12.75" hidden="false" customHeight="false" outlineLevel="0" collapsed="false">
      <c r="A25" s="493" t="s">
        <v>645</v>
      </c>
      <c r="B25" s="494" t="n">
        <v>0.1</v>
      </c>
      <c r="C25" s="495" t="n">
        <v>0.005</v>
      </c>
      <c r="D25" s="477" t="str">
        <f aca="false">IF(ISERROR(VLOOKUP($A25,'[1]liste reference'!$A$7:$D$904,2,0)),IF(ISERROR(VLOOKUP($A25,'[1]liste reference'!$B$7:$D$904,1,0)),"",VLOOKUP($A25,'[1]liste reference'!$B$7:$D$904,1,0)),VLOOKUP($A25,'[1]liste reference'!$A$7:$D$904,2,0))</f>
        <v>Amblystegium riparium</v>
      </c>
      <c r="E25" s="496" t="e">
        <f aca="false">IF(D25="",0,VLOOKUP(D25,D$22:D24,1,0))</f>
        <v>#N/A</v>
      </c>
      <c r="F25" s="497" t="n">
        <f aca="false">($B25*$B$7+$C25*$C$7)/100</f>
        <v>0.0411</v>
      </c>
      <c r="G25" s="479" t="str">
        <f aca="false">IF(A25="","",IF(ISERROR(VLOOKUP($A25,'[1]liste reference'!$A$7:$P$904,13,0)),IF(ISERROR(VLOOKUP($A25,'[1]liste reference'!$B$7:$P$904,12,0)),"    -",VLOOKUP($A25,'[1]liste reference'!$B$7:$P$904,12,0)),VLOOKUP($A25,'[1]liste reference'!$A$7:$P$904,13,0)))</f>
        <v>BRm</v>
      </c>
      <c r="H25" s="480" t="n">
        <f aca="false">IF(A25="","x",IF(ISERROR(VLOOKUP($A25,'[1]liste reference'!$A$8:$P$904,14,0)),IF(ISERROR(VLOOKUP($A25,'[1]liste reference'!$B$8:$P$904,13,0)),"x",VLOOKUP($A25,'[1]liste reference'!$B$8:$P$904,13,0)),VLOOKUP($A25,'[1]liste reference'!$A$8:$P$904,14,0)))</f>
        <v>5</v>
      </c>
      <c r="I25" s="481" t="n">
        <f aca="false">IF(ISNUMBER(H25),IF(ISERROR(VLOOKUP($A25,'[1]liste reference'!$A$7:$P$904,3,0)),IF(ISERROR(VLOOKUP($A25,'[1]liste reference'!$B$7:$P$904,2,0)),"",VLOOKUP($A25,'[1]liste reference'!$B$7:$P$904,2,0)),VLOOKUP($A25,'[1]liste reference'!$A$7:$P$904,3,0)),"")</f>
        <v>5</v>
      </c>
      <c r="J25" s="481" t="n">
        <f aca="false">IF(ISNUMBER(H25),IF(ISERROR(VLOOKUP($A25,'[1]liste reference'!$A$7:$P$904,4,0)),IF(ISERROR(VLOOKUP($A25,'[1]liste reference'!$B$7:$P$904,3,0)),"",VLOOKUP($A25,'[1]liste reference'!$B$7:$P$904,3,0)),VLOOKUP($A25,'[1]liste reference'!$A$7:$P$904,4,0)),"")</f>
        <v>2</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Amblystegium riparium</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1219</v>
      </c>
      <c r="Q25" s="486" t="n">
        <f aca="false">IF(ISTEXT(H25),"",(B25*$B$7/100)+(C25*$C$7/100))</f>
        <v>0.0411</v>
      </c>
      <c r="R25" s="487" t="n">
        <f aca="false">IF(OR(ISTEXT(H25),Q25=0),"",IF(Q25&lt;0.1,1,IF(Q25&lt;1,2,IF(Q25&lt;10,3,IF(Q25&lt;50,4,IF(Q25&gt;=50,5,""))))))</f>
        <v>1</v>
      </c>
      <c r="S25" s="487" t="n">
        <f aca="false">IF(ISERROR(R25*I25),0,R25*I25)</f>
        <v>5</v>
      </c>
      <c r="T25" s="487" t="n">
        <f aca="false">IF(ISERROR(R25*I25*J25),0,R25*I25*J25)</f>
        <v>10</v>
      </c>
      <c r="U25" s="499" t="n">
        <f aca="false">IF(ISERROR(R25*J25),0,R25*J25)</f>
        <v>2</v>
      </c>
      <c r="V25" s="488" t="str">
        <f aca="false">IF(AND(A25="",F25=0),"",IF(F25=0,"Il manque le(s) % de rec. !",""))</f>
        <v/>
      </c>
      <c r="W25" s="489"/>
      <c r="Y25" s="490" t="str">
        <f aca="false">IF(A25="new.cod","NEWCOD",IF(AND((Z25=""),ISTEXT(A25)),A25,IF(Z25="","",INDEX('[1]liste reference'!$A$8:$A$904,Z25))))</f>
        <v>AMBRIP</v>
      </c>
      <c r="Z25" s="280" t="n">
        <f aca="false">IF(ISERROR(MATCH(A25,'[1]liste reference'!$A$8:$A$904,0)),IF(ISERROR(MATCH(A25,'[1]liste reference'!$B$8:$B$904,0)),"",(MATCH(A25,'[1]liste reference'!$B$8:$B$904,0))),(MATCH(A25,'[1]liste reference'!$A$8:$A$904,0)))</f>
        <v>148</v>
      </c>
      <c r="AA25" s="491"/>
      <c r="AB25" s="492"/>
      <c r="AC25" s="492"/>
      <c r="BB25" s="280" t="n">
        <f aca="false">IF(A25="","",1)</f>
        <v>1</v>
      </c>
    </row>
    <row r="26" customFormat="false" ht="12.75" hidden="false" customHeight="false" outlineLevel="0" collapsed="false">
      <c r="A26" s="493" t="s">
        <v>896</v>
      </c>
      <c r="B26" s="494" t="n">
        <v>1.3</v>
      </c>
      <c r="C26" s="495" t="n">
        <v>0.01</v>
      </c>
      <c r="D26" s="477" t="str">
        <f aca="false">IF(ISERROR(VLOOKUP($A26,'[1]liste reference'!$A$7:$D$904,2,0)),IF(ISERROR(VLOOKUP($A26,'[1]liste reference'!$B$7:$D$904,1,0)),"",VLOOKUP($A26,'[1]liste reference'!$B$7:$D$904,1,0)),VLOOKUP($A26,'[1]liste reference'!$A$7:$D$904,2,0))</f>
        <v>Fontinalis antipyretica</v>
      </c>
      <c r="E26" s="496" t="e">
        <f aca="false">IF(D26="",0,VLOOKUP(D26,D$22:D25,1,0))</f>
        <v>#N/A</v>
      </c>
      <c r="F26" s="497" t="n">
        <f aca="false">($B26*$B$7+$C26*$C$7)/100</f>
        <v>0.5002</v>
      </c>
      <c r="G26" s="479" t="str">
        <f aca="false">IF(A26="","",IF(ISERROR(VLOOKUP($A26,'[1]liste reference'!$A$7:$P$904,13,0)),IF(ISERROR(VLOOKUP($A26,'[1]liste reference'!$B$7:$P$904,12,0)),"    -",VLOOKUP($A26,'[1]liste reference'!$B$7:$P$904,12,0)),VLOOKUP($A26,'[1]liste reference'!$A$7:$P$904,13,0)))</f>
        <v>BRm</v>
      </c>
      <c r="H26" s="480" t="n">
        <f aca="false">IF(A26="","x",IF(ISERROR(VLOOKUP($A26,'[1]liste reference'!$A$8:$P$904,14,0)),IF(ISERROR(VLOOKUP($A26,'[1]liste reference'!$B$8:$P$904,13,0)),"x",VLOOKUP($A26,'[1]liste reference'!$B$8:$P$904,13,0)),VLOOKUP($A26,'[1]liste reference'!$A$8:$P$904,14,0)))</f>
        <v>5</v>
      </c>
      <c r="I26" s="481" t="n">
        <f aca="false">IF(ISNUMBER(H26),IF(ISERROR(VLOOKUP($A26,'[1]liste reference'!$A$7:$P$904,3,0)),IF(ISERROR(VLOOKUP($A26,'[1]liste reference'!$B$7:$P$904,2,0)),"",VLOOKUP($A26,'[1]liste reference'!$B$7:$P$904,2,0)),VLOOKUP($A26,'[1]liste reference'!$A$7:$P$904,3,0)),"")</f>
        <v>10</v>
      </c>
      <c r="J26" s="481" t="n">
        <f aca="false">IF(ISNUMBER(H26),IF(ISERROR(VLOOKUP($A26,'[1]liste reference'!$A$7:$P$904,4,0)),IF(ISERROR(VLOOKUP($A26,'[1]liste reference'!$B$7:$P$904,3,0)),"",VLOOKUP($A26,'[1]liste reference'!$B$7:$P$904,3,0)),VLOOKUP($A26,'[1]liste reference'!$A$7:$P$904,4,0)),"")</f>
        <v>1</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Fontinalis antipyretica</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1310</v>
      </c>
      <c r="Q26" s="486" t="n">
        <f aca="false">IF(ISTEXT(H26),"",(B26*$B$7/100)+(C26*$C$7/100))</f>
        <v>0.5002</v>
      </c>
      <c r="R26" s="487" t="n">
        <f aca="false">IF(OR(ISTEXT(H26),Q26=0),"",IF(Q26&lt;0.1,1,IF(Q26&lt;1,2,IF(Q26&lt;10,3,IF(Q26&lt;50,4,IF(Q26&gt;=50,5,""))))))</f>
        <v>2</v>
      </c>
      <c r="S26" s="487" t="n">
        <f aca="false">IF(ISERROR(R26*I26),0,R26*I26)</f>
        <v>20</v>
      </c>
      <c r="T26" s="487" t="n">
        <f aca="false">IF(ISERROR(R26*I26*J26),0,R26*I26*J26)</f>
        <v>20</v>
      </c>
      <c r="U26" s="499" t="n">
        <f aca="false">IF(ISERROR(R26*J26),0,R26*J26)</f>
        <v>2</v>
      </c>
      <c r="V26" s="488" t="str">
        <f aca="false">IF(AND(A26="",F26=0),"",IF(F26=0,"Il manque le(s) % de rec. !",""))</f>
        <v/>
      </c>
      <c r="W26" s="489"/>
      <c r="Y26" s="490" t="str">
        <f aca="false">IF(A26="new.cod","NEWCOD",IF(AND((Z26=""),ISTEXT(A26)),A26,IF(Z26="","",INDEX('[1]liste reference'!$A$8:$A$904,Z26))))</f>
        <v>FONANT</v>
      </c>
      <c r="Z26" s="280" t="n">
        <f aca="false">IF(ISERROR(MATCH(A26,'[1]liste reference'!$A$8:$A$904,0)),IF(ISERROR(MATCH(A26,'[1]liste reference'!$B$8:$B$904,0)),"",(MATCH(A26,'[1]liste reference'!$B$8:$B$904,0))),(MATCH(A26,'[1]liste reference'!$A$8:$A$904,0)))</f>
        <v>210</v>
      </c>
      <c r="AA26" s="491"/>
      <c r="AB26" s="492"/>
      <c r="AC26" s="492"/>
      <c r="BB26" s="280" t="n">
        <f aca="false">IF(A26="","",1)</f>
        <v>1</v>
      </c>
    </row>
    <row r="27" customFormat="false" ht="12.75" hidden="false" customHeight="false" outlineLevel="0" collapsed="false">
      <c r="A27" s="493" t="s">
        <v>1224</v>
      </c>
      <c r="B27" s="494" t="n">
        <v>0.03</v>
      </c>
      <c r="C27" s="495" t="n">
        <v>0.02</v>
      </c>
      <c r="D27" s="477" t="str">
        <f aca="false">IF(ISERROR(VLOOKUP($A27,'[1]liste reference'!$A$7:$D$904,2,0)),IF(ISERROR(VLOOKUP($A27,'[1]liste reference'!$B$7:$D$904,1,0)),"",VLOOKUP($A27,'[1]liste reference'!$B$7:$D$904,1,0)),VLOOKUP($A27,'[1]liste reference'!$A$7:$D$904,2,0))</f>
        <v>Apium nodiflorum</v>
      </c>
      <c r="E27" s="496" t="e">
        <f aca="false">IF(D27="",0,VLOOKUP(D27,D$22:D26,1,0))</f>
        <v>#N/A</v>
      </c>
      <c r="F27" s="497" t="n">
        <f aca="false">($B27*$B$7+$C27*$C$7)/100</f>
        <v>0.0238</v>
      </c>
      <c r="G27" s="479" t="str">
        <f aca="false">IF(A27="","",IF(ISERROR(VLOOKUP($A27,'[1]liste reference'!$A$7:$P$904,13,0)),IF(ISERROR(VLOOKUP($A27,'[1]liste reference'!$B$7:$P$904,12,0)),"    -",VLOOKUP($A27,'[1]liste reference'!$B$7:$P$904,12,0)),VLOOKUP($A27,'[1]liste reference'!$A$7:$P$904,13,0)))</f>
        <v>PHy</v>
      </c>
      <c r="H27" s="480" t="n">
        <f aca="false">IF(A27="","x",IF(ISERROR(VLOOKUP($A27,'[1]liste reference'!$A$8:$P$904,14,0)),IF(ISERROR(VLOOKUP($A27,'[1]liste reference'!$B$8:$P$904,13,0)),"x",VLOOKUP($A27,'[1]liste reference'!$B$8:$P$904,13,0)),VLOOKUP($A27,'[1]liste reference'!$A$8:$P$904,14,0)))</f>
        <v>7</v>
      </c>
      <c r="I27" s="481" t="n">
        <f aca="false">IF(ISNUMBER(H27),IF(ISERROR(VLOOKUP($A27,'[1]liste reference'!$A$7:$P$904,3,0)),IF(ISERROR(VLOOKUP($A27,'[1]liste reference'!$B$7:$P$904,2,0)),"",VLOOKUP($A27,'[1]liste reference'!$B$7:$P$904,2,0)),VLOOKUP($A27,'[1]liste reference'!$A$7:$P$904,3,0)),"")</f>
        <v>10</v>
      </c>
      <c r="J27" s="481" t="n">
        <f aca="false">IF(ISNUMBER(H27),IF(ISERROR(VLOOKUP($A27,'[1]liste reference'!$A$7:$P$904,4,0)),IF(ISERROR(VLOOKUP($A27,'[1]liste reference'!$B$7:$P$904,3,0)),"",VLOOKUP($A27,'[1]liste reference'!$B$7:$P$904,3,0)),VLOOKUP($A27,'[1]liste reference'!$A$7:$P$904,4,0)),"")</f>
        <v>1</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Apium nodiflorum</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1974</v>
      </c>
      <c r="Q27" s="486" t="n">
        <f aca="false">IF(ISTEXT(H27),"",(B27*$B$7/100)+(C27*$C$7/100))</f>
        <v>0.0238</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489"/>
      <c r="Y27" s="490" t="str">
        <f aca="false">IF(A27="new.cod","NEWCOD",IF(AND((Z27=""),ISTEXT(A27)),A27,IF(Z27="","",INDEX('[1]liste reference'!$A$8:$A$904,Z27))))</f>
        <v>APINOD</v>
      </c>
      <c r="Z27" s="280" t="n">
        <f aca="false">IF(ISERROR(MATCH(A27,'[1]liste reference'!$A$8:$A$904,0)),IF(ISERROR(MATCH(A27,'[1]liste reference'!$B$8:$B$904,0)),"",(MATCH(A27,'[1]liste reference'!$B$8:$B$904,0))),(MATCH(A27,'[1]liste reference'!$A$8:$A$904,0)))</f>
        <v>309</v>
      </c>
      <c r="AA27" s="491"/>
      <c r="AB27" s="492"/>
      <c r="AC27" s="492"/>
      <c r="BB27" s="280" t="n">
        <f aca="false">IF(A27="","",1)</f>
        <v>1</v>
      </c>
    </row>
    <row r="28" customFormat="false" ht="12.75" hidden="false" customHeight="false" outlineLevel="0" collapsed="false">
      <c r="A28" s="493" t="s">
        <v>1250</v>
      </c>
      <c r="B28" s="494" t="n">
        <v>36</v>
      </c>
      <c r="C28" s="495" t="n">
        <v>23</v>
      </c>
      <c r="D28" s="477" t="str">
        <f aca="false">IF(ISERROR(VLOOKUP($A28,'[1]liste reference'!$A$7:$D$904,2,0)),IF(ISERROR(VLOOKUP($A28,'[1]liste reference'!$B$7:$D$904,1,0)),"",VLOOKUP($A28,'[1]liste reference'!$B$7:$D$904,1,0)),VLOOKUP($A28,'[1]liste reference'!$A$7:$D$904,2,0))</f>
        <v>Callitriche lenisulca</v>
      </c>
      <c r="E28" s="496" t="e">
        <f aca="false">IF(D28="",0,VLOOKUP(D28,D$22:D27,1,0))</f>
        <v>#N/A</v>
      </c>
      <c r="F28" s="497" t="n">
        <f aca="false">($B28*$B$7+$C28*$C$7)/100</f>
        <v>27.94</v>
      </c>
      <c r="G28" s="479" t="str">
        <f aca="false">IF(A28="","",IF(ISERROR(VLOOKUP($A28,'[1]liste reference'!$A$7:$P$904,13,0)),IF(ISERROR(VLOOKUP($A28,'[1]liste reference'!$B$7:$P$904,12,0)),"    -",VLOOKUP($A28,'[1]liste reference'!$B$7:$P$904,12,0)),VLOOKUP($A28,'[1]liste reference'!$A$7:$P$904,13,0)))</f>
        <v>PHy</v>
      </c>
      <c r="H28" s="480" t="n">
        <f aca="false">IF(A28="","x",IF(ISERROR(VLOOKUP($A28,'[1]liste reference'!$A$8:$P$904,14,0)),IF(ISERROR(VLOOKUP($A28,'[1]liste reference'!$B$8:$P$904,13,0)),"x",VLOOKUP($A28,'[1]liste reference'!$B$8:$P$904,13,0)),VLOOKUP($A28,'[1]liste reference'!$A$8:$P$904,14,0)))</f>
        <v>7</v>
      </c>
      <c r="I28" s="481" t="str">
        <f aca="false">IF(ISNUMBER(H28),IF(ISERROR(VLOOKUP($A28,'[1]liste reference'!$A$7:$P$904,3,0)),IF(ISERROR(VLOOKUP($A28,'[1]liste reference'!$B$7:$P$904,2,0)),"",VLOOKUP($A28,'[1]liste reference'!$B$7:$P$904,2,0)),VLOOKUP($A28,'[1]liste reference'!$A$7:$P$904,3,0)),"")</f>
        <v/>
      </c>
      <c r="J28" s="481" t="str">
        <f aca="false">IF(ISNUMBER(H28),IF(ISERROR(VLOOKUP($A28,'[1]liste reference'!$A$7:$P$904,4,0)),IF(ISERROR(VLOOKUP($A28,'[1]liste reference'!$B$7:$P$904,3,0)),"",VLOOKUP($A28,'[1]liste reference'!$B$7:$P$904,3,0)),VLOOKUP($A28,'[1]liste reference'!$A$7:$P$904,4,0)),"")</f>
        <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Callitriche lenisulca</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19554</v>
      </c>
      <c r="Q28" s="486" t="n">
        <f aca="false">IF(ISTEXT(H28),"",(B28*$B$7/100)+(C28*$C$7/100))</f>
        <v>27.94</v>
      </c>
      <c r="R28" s="487" t="n">
        <f aca="false">IF(OR(ISTEXT(H28),Q28=0),"",IF(Q28&lt;0.1,1,IF(Q28&lt;1,2,IF(Q28&lt;10,3,IF(Q28&lt;50,4,IF(Q28&gt;=50,5,""))))))</f>
        <v>4</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IF(A28="new.cod","NEWCOD",IF(AND((Z28=""),ISTEXT(A28)),A28,IF(Z28="","",INDEX('[1]liste reference'!$A$8:$A$904,Z28))))</f>
        <v>CALLEN</v>
      </c>
      <c r="Z28" s="280" t="n">
        <f aca="false">IF(ISERROR(MATCH(A28,'[1]liste reference'!$A$8:$A$904,0)),IF(ISERROR(MATCH(A28,'[1]liste reference'!$B$8:$B$904,0)),"",(MATCH(A28,'[1]liste reference'!$B$8:$B$904,0))),(MATCH(A28,'[1]liste reference'!$A$8:$A$904,0)))</f>
        <v>318</v>
      </c>
      <c r="AA28" s="491"/>
      <c r="AB28" s="492"/>
      <c r="AC28" s="492"/>
      <c r="BB28" s="280" t="n">
        <f aca="false">IF(A28="","",1)</f>
        <v>1</v>
      </c>
    </row>
    <row r="29" customFormat="false" ht="12.75" hidden="false" customHeight="false" outlineLevel="0" collapsed="false">
      <c r="A29" s="493" t="s">
        <v>1708</v>
      </c>
      <c r="B29" s="494" t="n">
        <v>2</v>
      </c>
      <c r="C29" s="495" t="n">
        <v>1.5</v>
      </c>
      <c r="D29" s="477" t="str">
        <f aca="false">IF(ISERROR(VLOOKUP($A29,'[1]liste reference'!$A$7:$D$904,2,0)),IF(ISERROR(VLOOKUP($A29,'[1]liste reference'!$B$7:$D$904,1,0)),"",VLOOKUP($A29,'[1]liste reference'!$B$7:$D$904,1,0)),VLOOKUP($A29,'[1]liste reference'!$A$7:$D$904,2,0))</f>
        <v>Agrostis stolonifera</v>
      </c>
      <c r="E29" s="496" t="e">
        <f aca="false">IF(D29="",0,VLOOKUP(D29,D$22:D28,1,0))</f>
        <v>#N/A</v>
      </c>
      <c r="F29" s="497" t="n">
        <f aca="false">($B29*$B$7+$C29*$C$7)/100</f>
        <v>1.69</v>
      </c>
      <c r="G29" s="479" t="str">
        <f aca="false">IF(A29="","",IF(ISERROR(VLOOKUP($A29,'[1]liste reference'!$A$7:$P$904,13,0)),IF(ISERROR(VLOOKUP($A29,'[1]liste reference'!$B$7:$P$904,12,0)),"    -",VLOOKUP($A29,'[1]liste reference'!$B$7:$P$904,12,0)),VLOOKUP($A29,'[1]liste reference'!$A$7:$P$904,13,0)))</f>
        <v>PHe</v>
      </c>
      <c r="H29" s="480" t="n">
        <f aca="false">IF(A29="","x",IF(ISERROR(VLOOKUP($A29,'[1]liste reference'!$A$8:$P$904,14,0)),IF(ISERROR(VLOOKUP($A29,'[1]liste reference'!$B$8:$P$904,13,0)),"x",VLOOKUP($A29,'[1]liste reference'!$B$8:$P$904,13,0)),VLOOKUP($A29,'[1]liste reference'!$A$8:$P$904,14,0)))</f>
        <v>8</v>
      </c>
      <c r="I29" s="481" t="n">
        <f aca="false">IF(ISNUMBER(H29),IF(ISERROR(VLOOKUP($A29,'[1]liste reference'!$A$7:$P$904,3,0)),IF(ISERROR(VLOOKUP($A29,'[1]liste reference'!$B$7:$P$904,2,0)),"",VLOOKUP($A29,'[1]liste reference'!$B$7:$P$904,2,0)),VLOOKUP($A29,'[1]liste reference'!$A$7:$P$904,3,0)),"")</f>
        <v>10</v>
      </c>
      <c r="J29" s="481" t="n">
        <f aca="false">IF(ISNUMBER(H29),IF(ISERROR(VLOOKUP($A29,'[1]liste reference'!$A$7:$P$904,4,0)),IF(ISERROR(VLOOKUP($A29,'[1]liste reference'!$B$7:$P$904,3,0)),"",VLOOKUP($A29,'[1]liste reference'!$B$7:$P$904,3,0)),VLOOKUP($A29,'[1]liste reference'!$A$7:$P$904,4,0)),"")</f>
        <v>1</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Agrostis stolonifera</v>
      </c>
      <c r="L29" s="498"/>
      <c r="M29" s="498"/>
      <c r="N29" s="498"/>
      <c r="O29" s="484" t="s">
        <v>2685</v>
      </c>
      <c r="P29" s="485" t="n">
        <f aca="false">IF($A29="NEWCOD",IF($AC29="","No",$AC29),IF(ISTEXT($E29),"DEJA SAISI !",IF($A29="","",IF(ISERROR(VLOOKUP($A29,'[1]liste reference'!A$1:S$1048576,19,FALSE())),IF(ISERROR(VLOOKUP($A29,'[1]liste reference'!B$1:S$1048576,19,FALSE())),"",VLOOKUP($A29,'[1]liste reference'!B$1:S$1048576,19,FALSE())),VLOOKUP($A29,'[1]liste reference'!A$1:S$1048576,19,FALSE())))))</f>
        <v>1543</v>
      </c>
      <c r="Q29" s="486" t="n">
        <f aca="false">IF(ISTEXT(H29),"",(B29*$B$7/100)+(C29*$C$7/100))</f>
        <v>1.69</v>
      </c>
      <c r="R29" s="487" t="n">
        <f aca="false">IF(OR(ISTEXT(H29),Q29=0),"",IF(Q29&lt;0.1,1,IF(Q29&lt;1,2,IF(Q29&lt;10,3,IF(Q29&lt;50,4,IF(Q29&gt;=50,5,""))))))</f>
        <v>3</v>
      </c>
      <c r="S29" s="487" t="n">
        <f aca="false">IF(ISERROR(R29*I29),0,R29*I29)</f>
        <v>30</v>
      </c>
      <c r="T29" s="487" t="n">
        <f aca="false">IF(ISERROR(R29*I29*J29),0,R29*I29*J29)</f>
        <v>30</v>
      </c>
      <c r="U29" s="499" t="n">
        <f aca="false">IF(ISERROR(R29*J29),0,R29*J29)</f>
        <v>3</v>
      </c>
      <c r="V29" s="488" t="str">
        <f aca="false">IF(AND(A29="",F29=0),"",IF(F29=0,"Il manque le(s) % de rec. !",""))</f>
        <v/>
      </c>
      <c r="W29" s="500"/>
      <c r="Y29" s="490" t="str">
        <f aca="false">IF(A29="new.cod","NEWCOD",IF(AND((Z29=""),ISTEXT(A29)),A29,IF(Z29="","",INDEX('[1]liste reference'!$A$8:$A$904,Z29))))</f>
        <v>AGRSTO</v>
      </c>
      <c r="Z29" s="280" t="n">
        <f aca="false">IF(ISERROR(MATCH(A29,'[1]liste reference'!$A$8:$A$904,0)),IF(ISERROR(MATCH(A29,'[1]liste reference'!$B$8:$B$904,0)),"",(MATCH(A29,'[1]liste reference'!$B$8:$B$904,0))),(MATCH(A29,'[1]liste reference'!$A$8:$A$904,0)))</f>
        <v>514</v>
      </c>
      <c r="AA29" s="491" t="s">
        <v>2685</v>
      </c>
      <c r="AB29" s="492"/>
      <c r="AC29" s="492"/>
      <c r="BB29" s="280" t="n">
        <f aca="false">IF(A29="","",1)</f>
        <v>1</v>
      </c>
    </row>
    <row r="30" customFormat="false" ht="12.75" hidden="false" customHeight="false" outlineLevel="0" collapsed="false">
      <c r="A30" s="493" t="s">
        <v>1882</v>
      </c>
      <c r="B30" s="494" t="n">
        <v>4</v>
      </c>
      <c r="C30" s="495" t="n">
        <v>64</v>
      </c>
      <c r="D30" s="477" t="str">
        <f aca="false">IF(ISERROR(VLOOKUP($A30,'[1]liste reference'!$A$7:$D$904,2,0)),IF(ISERROR(VLOOKUP($A30,'[1]liste reference'!$B$7:$D$904,1,0)),"",VLOOKUP($A30,'[1]liste reference'!$B$7:$D$904,1,0)),VLOOKUP($A30,'[1]liste reference'!$A$7:$D$904,2,0))</f>
        <v>Iris pseudacorus</v>
      </c>
      <c r="E30" s="496" t="e">
        <f aca="false">IF(D30="",0,VLOOKUP(D30,D$22:D29,1,0))</f>
        <v>#N/A</v>
      </c>
      <c r="F30" s="497" t="n">
        <f aca="false">($B30*$B$7+$C30*$C$7)/100</f>
        <v>41.2</v>
      </c>
      <c r="G30" s="479" t="str">
        <f aca="false">IF(A30="","",IF(ISERROR(VLOOKUP($A30,'[1]liste reference'!$A$7:$P$904,13,0)),IF(ISERROR(VLOOKUP($A30,'[1]liste reference'!$B$7:$P$904,12,0)),"    -",VLOOKUP($A30,'[1]liste reference'!$B$7:$P$904,12,0)),VLOOKUP($A30,'[1]liste reference'!$A$7:$P$904,13,0)))</f>
        <v>PHe</v>
      </c>
      <c r="H30" s="480" t="n">
        <f aca="false">IF(A30="","x",IF(ISERROR(VLOOKUP($A30,'[1]liste reference'!$A$8:$P$904,14,0)),IF(ISERROR(VLOOKUP($A30,'[1]liste reference'!$B$8:$P$904,13,0)),"x",VLOOKUP($A30,'[1]liste reference'!$B$8:$P$904,13,0)),VLOOKUP($A30,'[1]liste reference'!$A$8:$P$904,14,0)))</f>
        <v>8</v>
      </c>
      <c r="I30" s="481" t="n">
        <f aca="false">IF(ISNUMBER(H30),IF(ISERROR(VLOOKUP($A30,'[1]liste reference'!$A$7:$P$904,3,0)),IF(ISERROR(VLOOKUP($A30,'[1]liste reference'!$B$7:$P$904,2,0)),"",VLOOKUP($A30,'[1]liste reference'!$B$7:$P$904,2,0)),VLOOKUP($A30,'[1]liste reference'!$A$7:$P$904,3,0)),"")</f>
        <v>10</v>
      </c>
      <c r="J30" s="481" t="n">
        <f aca="false">IF(ISNUMBER(H30),IF(ISERROR(VLOOKUP($A30,'[1]liste reference'!$A$7:$P$904,4,0)),IF(ISERROR(VLOOKUP($A30,'[1]liste reference'!$B$7:$P$904,3,0)),"",VLOOKUP($A30,'[1]liste reference'!$B$7:$P$904,3,0)),VLOOKUP($A30,'[1]liste reference'!$A$7:$P$904,4,0)),"")</f>
        <v>1</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Iris pseudacorus</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1601</v>
      </c>
      <c r="Q30" s="486" t="n">
        <f aca="false">IF(ISTEXT(H30),"",(B30*$B$7/100)+(C30*$C$7/100))</f>
        <v>41.2</v>
      </c>
      <c r="R30" s="487" t="n">
        <f aca="false">IF(OR(ISTEXT(H30),Q30=0),"",IF(Q30&lt;0.1,1,IF(Q30&lt;1,2,IF(Q30&lt;10,3,IF(Q30&lt;50,4,IF(Q30&gt;=50,5,""))))))</f>
        <v>4</v>
      </c>
      <c r="S30" s="487" t="n">
        <f aca="false">IF(ISERROR(R30*I30),0,R30*I30)</f>
        <v>40</v>
      </c>
      <c r="T30" s="487" t="n">
        <f aca="false">IF(ISERROR(R30*I30*J30),0,R30*I30*J30)</f>
        <v>40</v>
      </c>
      <c r="U30" s="499" t="n">
        <f aca="false">IF(ISERROR(R30*J30),0,R30*J30)</f>
        <v>4</v>
      </c>
      <c r="V30" s="488" t="str">
        <f aca="false">IF(AND(A30="",F30=0),"",IF(F30=0,"Il manque le(s) % de rec. !",""))</f>
        <v/>
      </c>
      <c r="W30" s="489"/>
      <c r="Y30" s="490" t="str">
        <f aca="false">IF(A30="new.cod","NEWCOD",IF(AND((Z30=""),ISTEXT(A30)),A30,IF(Z30="","",INDEX('[1]liste reference'!$A$8:$A$904,Z30))))</f>
        <v>IRIPSE</v>
      </c>
      <c r="Z30" s="280" t="n">
        <f aca="false">IF(ISERROR(MATCH(A30,'[1]liste reference'!$A$8:$A$904,0)),IF(ISERROR(MATCH(A30,'[1]liste reference'!$B$8:$B$904,0)),"",(MATCH(A30,'[1]liste reference'!$B$8:$B$904,0))),(MATCH(A30,'[1]liste reference'!$A$8:$A$904,0)))</f>
        <v>582</v>
      </c>
      <c r="AA30" s="491"/>
      <c r="AB30" s="492"/>
      <c r="AC30" s="492"/>
      <c r="BB30" s="280" t="n">
        <f aca="false">IF(A30="","",1)</f>
        <v>1</v>
      </c>
    </row>
    <row r="31" customFormat="false" ht="12.75" hidden="false" customHeight="false" outlineLevel="0" collapsed="false">
      <c r="A31" s="493" t="s">
        <v>1899</v>
      </c>
      <c r="B31" s="494" t="n">
        <v>0.05</v>
      </c>
      <c r="C31" s="495" t="n">
        <v>0.01</v>
      </c>
      <c r="D31" s="477" t="str">
        <f aca="false">IF(ISERROR(VLOOKUP($A31,'[1]liste reference'!$A$7:$D$904,2,0)),IF(ISERROR(VLOOKUP($A31,'[1]liste reference'!$B$7:$D$904,1,0)),"",VLOOKUP($A31,'[1]liste reference'!$B$7:$D$904,1,0)),VLOOKUP($A31,'[1]liste reference'!$A$7:$D$904,2,0))</f>
        <v>Juncus sp.</v>
      </c>
      <c r="E31" s="496" t="e">
        <f aca="false">IF(D31="",0,VLOOKUP(D31,D$22:D30,1,0))</f>
        <v>#N/A</v>
      </c>
      <c r="F31" s="497" t="n">
        <f aca="false">($B31*$B$7+$C31*$C$7)/100</f>
        <v>0.0252</v>
      </c>
      <c r="G31" s="479" t="str">
        <f aca="false">IF(A31="","",IF(ISERROR(VLOOKUP($A31,'[1]liste reference'!$A$7:$P$904,13,0)),IF(ISERROR(VLOOKUP($A31,'[1]liste reference'!$B$7:$P$904,12,0)),"    -",VLOOKUP($A31,'[1]liste reference'!$B$7:$P$904,12,0)),VLOOKUP($A31,'[1]liste reference'!$A$7:$P$904,13,0)))</f>
        <v>PHe</v>
      </c>
      <c r="H31" s="480" t="n">
        <f aca="false">IF(A31="","x",IF(ISERROR(VLOOKUP($A31,'[1]liste reference'!$A$8:$P$904,14,0)),IF(ISERROR(VLOOKUP($A31,'[1]liste reference'!$B$8:$P$904,13,0)),"x",VLOOKUP($A31,'[1]liste reference'!$B$8:$P$904,13,0)),VLOOKUP($A31,'[1]liste reference'!$A$8:$P$904,14,0)))</f>
        <v>8</v>
      </c>
      <c r="I31" s="481" t="str">
        <f aca="false">IF(ISNUMBER(H31),IF(ISERROR(VLOOKUP($A31,'[1]liste reference'!$A$7:$P$904,3,0)),IF(ISERROR(VLOOKUP($A31,'[1]liste reference'!$B$7:$P$904,2,0)),"",VLOOKUP($A31,'[1]liste reference'!$B$7:$P$904,2,0)),VLOOKUP($A31,'[1]liste reference'!$A$7:$P$904,3,0)),"")</f>
        <v/>
      </c>
      <c r="J31" s="481" t="str">
        <f aca="false">IF(ISNUMBER(H31),IF(ISERROR(VLOOKUP($A31,'[1]liste reference'!$A$7:$P$904,4,0)),IF(ISERROR(VLOOKUP($A31,'[1]liste reference'!$B$7:$P$904,3,0)),"",VLOOKUP($A31,'[1]liste reference'!$B$7:$P$904,3,0)),VLOOKUP($A31,'[1]liste reference'!$A$7:$P$904,4,0)),"")</f>
        <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Juncus sp.</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1606</v>
      </c>
      <c r="Q31" s="486" t="n">
        <f aca="false">IF(ISTEXT(H31),"",(B31*$B$7/100)+(C31*$C$7/100))</f>
        <v>0.0252</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IF(A31="new.cod","NEWCOD",IF(AND((Z31=""),ISTEXT(A31)),A31,IF(Z31="","",INDEX('[1]liste reference'!$A$8:$A$904,Z31))))</f>
        <v>JUNSPX</v>
      </c>
      <c r="Z31" s="280" t="n">
        <f aca="false">IF(ISERROR(MATCH(A31,'[1]liste reference'!$A$8:$A$904,0)),IF(ISERROR(MATCH(A31,'[1]liste reference'!$B$8:$B$904,0)),"",(MATCH(A31,'[1]liste reference'!$B$8:$B$904,0))),(MATCH(A31,'[1]liste reference'!$A$8:$A$904,0)))</f>
        <v>590</v>
      </c>
      <c r="AA31" s="491"/>
      <c r="AB31" s="492"/>
      <c r="AC31" s="492"/>
      <c r="BB31" s="280" t="n">
        <f aca="false">IF(A31="","",1)</f>
        <v>1</v>
      </c>
    </row>
    <row r="32" customFormat="false" ht="12.75" hidden="false" customHeight="false" outlineLevel="0" collapsed="false">
      <c r="A32" s="493" t="s">
        <v>1923</v>
      </c>
      <c r="B32" s="494"/>
      <c r="C32" s="495" t="n">
        <v>0.01</v>
      </c>
      <c r="D32" s="477" t="str">
        <f aca="false">IF(ISERROR(VLOOKUP($A32,'[1]liste reference'!$A$7:$D$904,2,0)),IF(ISERROR(VLOOKUP($A32,'[1]liste reference'!$B$7:$D$904,1,0)),"",VLOOKUP($A32,'[1]liste reference'!$B$7:$D$904,1,0)),VLOOKUP($A32,'[1]liste reference'!$A$7:$D$904,2,0))</f>
        <v>Lysimachia vulgaris</v>
      </c>
      <c r="E32" s="496" t="e">
        <f aca="false">IF(D32="",0,VLOOKUP(D32,D$22:D31,1,0))</f>
        <v>#N/A</v>
      </c>
      <c r="F32" s="497" t="n">
        <f aca="false">($B32*$B$7+$C32*$C$7)/100</f>
        <v>0.0062</v>
      </c>
      <c r="G32" s="479" t="str">
        <f aca="false">IF(A32="","",IF(ISERROR(VLOOKUP($A32,'[1]liste reference'!$A$7:$P$904,13,0)),IF(ISERROR(VLOOKUP($A32,'[1]liste reference'!$B$7:$P$904,12,0)),"    -",VLOOKUP($A32,'[1]liste reference'!$B$7:$P$904,12,0)),VLOOKUP($A32,'[1]liste reference'!$A$7:$P$904,13,0)))</f>
        <v>PHe</v>
      </c>
      <c r="H32" s="480" t="n">
        <f aca="false">IF(A32="","x",IF(ISERROR(VLOOKUP($A32,'[1]liste reference'!$A$8:$P$904,14,0)),IF(ISERROR(VLOOKUP($A32,'[1]liste reference'!$B$8:$P$904,13,0)),"x",VLOOKUP($A32,'[1]liste reference'!$B$8:$P$904,13,0)),VLOOKUP($A32,'[1]liste reference'!$A$8:$P$904,14,0)))</f>
        <v>8</v>
      </c>
      <c r="I32" s="481" t="str">
        <f aca="false">IF(ISNUMBER(H32),IF(ISERROR(VLOOKUP($A32,'[1]liste reference'!$A$7:$P$904,3,0)),IF(ISERROR(VLOOKUP($A32,'[1]liste reference'!$B$7:$P$904,2,0)),"",VLOOKUP($A32,'[1]liste reference'!$B$7:$P$904,2,0)),VLOOKUP($A32,'[1]liste reference'!$A$7:$P$904,3,0)),"")</f>
        <v/>
      </c>
      <c r="J32" s="481" t="str">
        <f aca="false">IF(ISNUMBER(H32),IF(ISERROR(VLOOKUP($A32,'[1]liste reference'!$A$7:$P$904,4,0)),IF(ISERROR(VLOOKUP($A32,'[1]liste reference'!$B$7:$P$904,3,0)),"",VLOOKUP($A32,'[1]liste reference'!$B$7:$P$904,3,0)),VLOOKUP($A32,'[1]liste reference'!$A$7:$P$904,4,0)),"")</f>
        <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Lysimachia vulgaris</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1887</v>
      </c>
      <c r="Q32" s="486" t="n">
        <f aca="false">IF(ISTEXT(H32),"",(B32*$B$7/100)+(C32*$C$7/100))</f>
        <v>0.0062</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IF(A32="new.cod","NEWCOD",IF(AND((Z32=""),ISTEXT(A32)),A32,IF(Z32="","",INDEX('[1]liste reference'!$A$8:$A$904,Z32))))</f>
        <v>LYSVUL</v>
      </c>
      <c r="Z32" s="280" t="n">
        <f aca="false">IF(ISERROR(MATCH(A32,'[1]liste reference'!$A$8:$A$904,0)),IF(ISERROR(MATCH(A32,'[1]liste reference'!$B$8:$B$904,0)),"",(MATCH(A32,'[1]liste reference'!$B$8:$B$904,0))),(MATCH(A32,'[1]liste reference'!$A$8:$A$904,0)))</f>
        <v>601</v>
      </c>
      <c r="AA32" s="491"/>
      <c r="AB32" s="492"/>
      <c r="AC32" s="492"/>
      <c r="BB32" s="280" t="n">
        <f aca="false">IF(A32="","",1)</f>
        <v>1</v>
      </c>
    </row>
    <row r="33" customFormat="false" ht="12.75" hidden="false" customHeight="false" outlineLevel="0" collapsed="false">
      <c r="A33" s="493" t="s">
        <v>1932</v>
      </c>
      <c r="B33" s="494" t="n">
        <v>0.01</v>
      </c>
      <c r="C33" s="495"/>
      <c r="D33" s="477" t="str">
        <f aca="false">IF(ISERROR(VLOOKUP($A33,'[1]liste reference'!$A$7:$D$904,2,0)),IF(ISERROR(VLOOKUP($A33,'[1]liste reference'!$B$7:$D$904,1,0)),"",VLOOKUP($A33,'[1]liste reference'!$B$7:$D$904,1,0)),VLOOKUP($A33,'[1]liste reference'!$A$7:$D$904,2,0))</f>
        <v>Lythrum salicaria</v>
      </c>
      <c r="E33" s="496" t="e">
        <f aca="false">IF(D33="",0,VLOOKUP(D33,D$22:D32,1,0))</f>
        <v>#N/A</v>
      </c>
      <c r="F33" s="497" t="n">
        <f aca="false">($B33*$B$7+$C33*$C$7)/100</f>
        <v>0.0038</v>
      </c>
      <c r="G33" s="479" t="str">
        <f aca="false">IF(A33="","",IF(ISERROR(VLOOKUP($A33,'[1]liste reference'!$A$7:$P$904,13,0)),IF(ISERROR(VLOOKUP($A33,'[1]liste reference'!$B$7:$P$904,12,0)),"    -",VLOOKUP($A33,'[1]liste reference'!$B$7:$P$904,12,0)),VLOOKUP($A33,'[1]liste reference'!$A$7:$P$904,13,0)))</f>
        <v>PHe</v>
      </c>
      <c r="H33" s="480" t="n">
        <f aca="false">IF(A33="","x",IF(ISERROR(VLOOKUP($A33,'[1]liste reference'!$A$8:$P$904,14,0)),IF(ISERROR(VLOOKUP($A33,'[1]liste reference'!$B$8:$P$904,13,0)),"x",VLOOKUP($A33,'[1]liste reference'!$B$8:$P$904,13,0)),VLOOKUP($A33,'[1]liste reference'!$A$8:$P$904,14,0)))</f>
        <v>8</v>
      </c>
      <c r="I33" s="481" t="str">
        <f aca="false">IF(ISNUMBER(H33),IF(ISERROR(VLOOKUP($A33,'[1]liste reference'!$A$7:$P$904,3,0)),IF(ISERROR(VLOOKUP($A33,'[1]liste reference'!$B$7:$P$904,2,0)),"",VLOOKUP($A33,'[1]liste reference'!$B$7:$P$904,2,0)),VLOOKUP($A33,'[1]liste reference'!$A$7:$P$904,3,0)),"")</f>
        <v/>
      </c>
      <c r="J33" s="481" t="str">
        <f aca="false">IF(ISNUMBER(H33),IF(ISERROR(VLOOKUP($A33,'[1]liste reference'!$A$7:$P$904,4,0)),IF(ISERROR(VLOOKUP($A33,'[1]liste reference'!$B$7:$P$904,3,0)),"",VLOOKUP($A33,'[1]liste reference'!$B$7:$P$904,3,0)),VLOOKUP($A33,'[1]liste reference'!$A$7:$P$904,4,0)),"")</f>
        <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Lythrum salicaria</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1823</v>
      </c>
      <c r="Q33" s="486" t="n">
        <f aca="false">IF(ISTEXT(H33),"",(B33*$B$7/100)+(C33*$C$7/100))</f>
        <v>0.0038</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IF(A33="new.cod","NEWCOD",IF(AND((Z33=""),ISTEXT(A33)),A33,IF(Z33="","",INDEX('[1]liste reference'!$A$8:$A$904,Z33))))</f>
        <v>LYTSAL</v>
      </c>
      <c r="Z33" s="280" t="n">
        <f aca="false">IF(ISERROR(MATCH(A33,'[1]liste reference'!$A$8:$A$904,0)),IF(ISERROR(MATCH(A33,'[1]liste reference'!$B$8:$B$904,0)),"",(MATCH(A33,'[1]liste reference'!$B$8:$B$904,0))),(MATCH(A33,'[1]liste reference'!$A$8:$A$904,0)))</f>
        <v>605</v>
      </c>
      <c r="AA33" s="491"/>
      <c r="AB33" s="492"/>
      <c r="AC33" s="492"/>
      <c r="BB33" s="280" t="n">
        <f aca="false">IF(A33="","",1)</f>
        <v>1</v>
      </c>
    </row>
    <row r="34" customFormat="false" ht="12.75" hidden="false" customHeight="false" outlineLevel="0" collapsed="false">
      <c r="A34" s="493" t="s">
        <v>2002</v>
      </c>
      <c r="B34" s="494" t="n">
        <v>0.02</v>
      </c>
      <c r="C34" s="495" t="n">
        <v>1</v>
      </c>
      <c r="D34" s="477" t="str">
        <f aca="false">IF(ISERROR(VLOOKUP($A34,'[1]liste reference'!$A$7:$D$904,2,0)),IF(ISERROR(VLOOKUP($A34,'[1]liste reference'!$B$7:$D$904,1,0)),"",VLOOKUP($A34,'[1]liste reference'!$B$7:$D$904,1,0)),VLOOKUP($A34,'[1]liste reference'!$A$7:$D$904,2,0))</f>
        <v>Phragmites australis</v>
      </c>
      <c r="E34" s="496" t="e">
        <f aca="false">IF(D34="",0,VLOOKUP(D34,D$22:D33,1,0))</f>
        <v>#N/A</v>
      </c>
      <c r="F34" s="501" t="n">
        <f aca="false">($B34*$B$7+$C34*$C$7)/100</f>
        <v>0.6276</v>
      </c>
      <c r="G34" s="479" t="str">
        <f aca="false">IF(A34="","",IF(ISERROR(VLOOKUP($A34,'[1]liste reference'!$A$7:$P$904,13,0)),IF(ISERROR(VLOOKUP($A34,'[1]liste reference'!$B$7:$P$904,12,0)),"    -",VLOOKUP($A34,'[1]liste reference'!$B$7:$P$904,12,0)),VLOOKUP($A34,'[1]liste reference'!$A$7:$P$904,13,0)))</f>
        <v>PHe</v>
      </c>
      <c r="H34" s="480" t="n">
        <f aca="false">IF(A34="","x",IF(ISERROR(VLOOKUP($A34,'[1]liste reference'!$A$8:$P$904,14,0)),IF(ISERROR(VLOOKUP($A34,'[1]liste reference'!$B$8:$P$904,13,0)),"x",VLOOKUP($A34,'[1]liste reference'!$B$8:$P$904,13,0)),VLOOKUP($A34,'[1]liste reference'!$A$8:$P$904,14,0)))</f>
        <v>8</v>
      </c>
      <c r="I34" s="481" t="n">
        <f aca="false">IF(ISNUMBER(H34),IF(ISERROR(VLOOKUP($A34,'[1]liste reference'!$A$7:$P$904,3,0)),IF(ISERROR(VLOOKUP($A34,'[1]liste reference'!$B$7:$P$904,2,0)),"",VLOOKUP($A34,'[1]liste reference'!$B$7:$P$904,2,0)),VLOOKUP($A34,'[1]liste reference'!$A$7:$P$904,3,0)),"")</f>
        <v>9</v>
      </c>
      <c r="J34" s="481" t="n">
        <f aca="false">IF(ISNUMBER(H34),IF(ISERROR(VLOOKUP($A34,'[1]liste reference'!$A$7:$P$904,4,0)),IF(ISERROR(VLOOKUP($A34,'[1]liste reference'!$B$7:$P$904,3,0)),"",VLOOKUP($A34,'[1]liste reference'!$B$7:$P$904,3,0)),VLOOKUP($A34,'[1]liste reference'!$A$7:$P$904,4,0)),"")</f>
        <v>2</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Phragmites australis</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1579</v>
      </c>
      <c r="Q34" s="486" t="n">
        <f aca="false">IF(ISTEXT(H34),"",(B34*$B$7/100)+(C34*$C$7/100))</f>
        <v>0.6276</v>
      </c>
      <c r="R34" s="487" t="n">
        <f aca="false">IF(OR(ISTEXT(H34),Q34=0),"",IF(Q34&lt;0.1,1,IF(Q34&lt;1,2,IF(Q34&lt;10,3,IF(Q34&lt;50,4,IF(Q34&gt;=50,5,""))))))</f>
        <v>2</v>
      </c>
      <c r="S34" s="487" t="n">
        <f aca="false">IF(ISERROR(R34*I34),0,R34*I34)</f>
        <v>18</v>
      </c>
      <c r="T34" s="487" t="n">
        <f aca="false">IF(ISERROR(R34*I34*J34),0,R34*I34*J34)</f>
        <v>36</v>
      </c>
      <c r="U34" s="499" t="n">
        <f aca="false">IF(ISERROR(R34*J34),0,R34*J34)</f>
        <v>4</v>
      </c>
      <c r="V34" s="488" t="str">
        <f aca="false">IF(AND(A34="",F34=0),"",IF(F34=0,"Il manque le(s) % de rec. !",""))</f>
        <v/>
      </c>
      <c r="W34" s="489"/>
      <c r="Y34" s="490" t="str">
        <f aca="false">IF(A34="new.cod","NEWCOD",IF(AND((Z34=""),ISTEXT(A34)),A34,IF(Z34="","",INDEX('[1]liste reference'!$A$8:$A$904,Z34))))</f>
        <v>PHRAUS</v>
      </c>
      <c r="Z34" s="280" t="n">
        <f aca="false">IF(ISERROR(MATCH(A34,'[1]liste reference'!$A$8:$A$904,0)),IF(ISERROR(MATCH(A34,'[1]liste reference'!$B$8:$B$904,0)),"",(MATCH(A34,'[1]liste reference'!$B$8:$B$904,0))),(MATCH(A34,'[1]liste reference'!$A$8:$A$904,0)))</f>
        <v>635</v>
      </c>
      <c r="AA34" s="491"/>
      <c r="AB34" s="492"/>
      <c r="AC34" s="492"/>
      <c r="BB34" s="280" t="n">
        <f aca="false">IF(A34="","",1)</f>
        <v>1</v>
      </c>
    </row>
    <row r="35" customFormat="false" ht="12.75" hidden="false" customHeight="false" outlineLevel="0" collapsed="false">
      <c r="A35" s="493" t="s">
        <v>2109</v>
      </c>
      <c r="B35" s="494" t="n">
        <v>4</v>
      </c>
      <c r="C35" s="495" t="n">
        <v>0.02</v>
      </c>
      <c r="D35" s="477" t="str">
        <f aca="false">IF(ISERROR(VLOOKUP($A35,'[1]liste reference'!$A$7:$D$904,2,0)),IF(ISERROR(VLOOKUP($A35,'[1]liste reference'!$B$7:$D$904,1,0)),"",VLOOKUP($A35,'[1]liste reference'!$B$7:$D$904,1,0)),VLOOKUP($A35,'[1]liste reference'!$A$7:$D$904,2,0))</f>
        <v>Veronica anagallis-aquatica</v>
      </c>
      <c r="E35" s="496" t="e">
        <f aca="false">IF(D35="",0,VLOOKUP(D35,D$22:D34,1,0))</f>
        <v>#N/A</v>
      </c>
      <c r="F35" s="501" t="n">
        <f aca="false">($B35*$B$7+$C35*$C$7)/100</f>
        <v>1.5324</v>
      </c>
      <c r="G35" s="479" t="str">
        <f aca="false">IF(A35="","",IF(ISERROR(VLOOKUP($A35,'[1]liste reference'!$A$7:$P$904,13,0)),IF(ISERROR(VLOOKUP($A35,'[1]liste reference'!$B$7:$P$904,12,0)),"    -",VLOOKUP($A35,'[1]liste reference'!$B$7:$P$904,12,0)),VLOOKUP($A35,'[1]liste reference'!$A$7:$P$904,13,0)))</f>
        <v>PHe</v>
      </c>
      <c r="H35" s="480" t="n">
        <f aca="false">IF(A35="","x",IF(ISERROR(VLOOKUP($A35,'[1]liste reference'!$A$8:$P$904,14,0)),IF(ISERROR(VLOOKUP($A35,'[1]liste reference'!$B$8:$P$904,13,0)),"x",VLOOKUP($A35,'[1]liste reference'!$B$8:$P$904,13,0)),VLOOKUP($A35,'[1]liste reference'!$A$8:$P$904,14,0)))</f>
        <v>8</v>
      </c>
      <c r="I35" s="481" t="n">
        <f aca="false">IF(ISNUMBER(H35),IF(ISERROR(VLOOKUP($A35,'[1]liste reference'!$A$7:$P$904,3,0)),IF(ISERROR(VLOOKUP($A35,'[1]liste reference'!$B$7:$P$904,2,0)),"",VLOOKUP($A35,'[1]liste reference'!$B$7:$P$904,2,0)),VLOOKUP($A35,'[1]liste reference'!$A$7:$P$904,3,0)),"")</f>
        <v>11</v>
      </c>
      <c r="J35" s="481" t="n">
        <f aca="false">IF(ISNUMBER(H35),IF(ISERROR(VLOOKUP($A35,'[1]liste reference'!$A$7:$P$904,4,0)),IF(ISERROR(VLOOKUP($A35,'[1]liste reference'!$B$7:$P$904,3,0)),"",VLOOKUP($A35,'[1]liste reference'!$B$7:$P$904,3,0)),VLOOKUP($A35,'[1]liste reference'!$A$7:$P$904,4,0)),"")</f>
        <v>2</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Veronica anagallis-aquatica</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1955</v>
      </c>
      <c r="Q35" s="486" t="n">
        <f aca="false">IF(ISTEXT(H35),"",(B35*$B$7/100)+(C35*$C$7/100))</f>
        <v>1.5324</v>
      </c>
      <c r="R35" s="487" t="n">
        <f aca="false">IF(OR(ISTEXT(H35),Q35=0),"",IF(Q35&lt;0.1,1,IF(Q35&lt;1,2,IF(Q35&lt;10,3,IF(Q35&lt;50,4,IF(Q35&gt;=50,5,""))))))</f>
        <v>3</v>
      </c>
      <c r="S35" s="487" t="n">
        <f aca="false">IF(ISERROR(R35*I35),0,R35*I35)</f>
        <v>33</v>
      </c>
      <c r="T35" s="487" t="n">
        <f aca="false">IF(ISERROR(R35*I35*J35),0,R35*I35*J35)</f>
        <v>66</v>
      </c>
      <c r="U35" s="499" t="n">
        <f aca="false">IF(ISERROR(R35*J35),0,R35*J35)</f>
        <v>6</v>
      </c>
      <c r="V35" s="488" t="str">
        <f aca="false">IF(AND(A35="",F35=0),"",IF(F35=0,"Il manque le(s) % de rec. !",""))</f>
        <v/>
      </c>
      <c r="W35" s="489"/>
      <c r="Y35" s="490" t="str">
        <f aca="false">IF(A35="new.cod","NEWCOD",IF(AND((Z35=""),ISTEXT(A35)),A35,IF(Z35="","",INDEX('[1]liste reference'!$A$8:$A$904,Z35))))</f>
        <v>VERANA</v>
      </c>
      <c r="Z35" s="280" t="n">
        <f aca="false">IF(ISERROR(MATCH(A35,'[1]liste reference'!$A$8:$A$904,0)),IF(ISERROR(MATCH(A35,'[1]liste reference'!$B$8:$B$904,0)),"",(MATCH(A35,'[1]liste reference'!$B$8:$B$904,0))),(MATCH(A35,'[1]liste reference'!$A$8:$A$904,0)))</f>
        <v>682</v>
      </c>
      <c r="AA35" s="491"/>
      <c r="AB35" s="492"/>
      <c r="AC35" s="492"/>
      <c r="BB35" s="280" t="n">
        <f aca="false">IF(A35="","",1)</f>
        <v>1</v>
      </c>
    </row>
    <row r="36" customFormat="false" ht="12.75" hidden="false" customHeight="false" outlineLevel="0" collapsed="false">
      <c r="A36" s="493" t="s">
        <v>2436</v>
      </c>
      <c r="B36" s="494"/>
      <c r="C36" s="495" t="n">
        <v>0.01</v>
      </c>
      <c r="D36" s="477" t="str">
        <f aca="false">IF(ISERROR(VLOOKUP($A36,'[1]liste reference'!$A$7:$D$904,2,0)),IF(ISERROR(VLOOKUP($A36,'[1]liste reference'!$B$7:$D$904,1,0)),"",VLOOKUP($A36,'[1]liste reference'!$B$7:$D$904,1,0)),VLOOKUP($A36,'[1]liste reference'!$A$7:$D$904,2,0))</f>
        <v>Solanum dulcamara</v>
      </c>
      <c r="E36" s="496" t="e">
        <f aca="false">IF(D36="",0,VLOOKUP(D36,D$22:D35,1,0))</f>
        <v>#N/A</v>
      </c>
      <c r="F36" s="501" t="n">
        <f aca="false">($B36*$B$7+$C36*$C$7)/100</f>
        <v>0.0062</v>
      </c>
      <c r="G36" s="479" t="str">
        <f aca="false">IF(A36="","",IF(ISERROR(VLOOKUP($A36,'[1]liste reference'!$A$7:$P$904,13,0)),IF(ISERROR(VLOOKUP($A36,'[1]liste reference'!$B$7:$P$904,12,0)),"    -",VLOOKUP($A36,'[1]liste reference'!$B$7:$P$904,12,0)),VLOOKUP($A36,'[1]liste reference'!$A$7:$P$904,13,0)))</f>
        <v>PHg</v>
      </c>
      <c r="H36" s="480" t="n">
        <f aca="false">IF(A36="","x",IF(ISERROR(VLOOKUP($A36,'[1]liste reference'!$A$8:$P$904,14,0)),IF(ISERROR(VLOOKUP($A36,'[1]liste reference'!$B$8:$P$904,13,0)),"x",VLOOKUP($A36,'[1]liste reference'!$B$8:$P$904,13,0)),VLOOKUP($A36,'[1]liste reference'!$A$8:$P$904,14,0)))</f>
        <v>9</v>
      </c>
      <c r="I36" s="481" t="str">
        <f aca="false">IF(ISNUMBER(H36),IF(ISERROR(VLOOKUP($A36,'[1]liste reference'!$A$7:$P$904,3,0)),IF(ISERROR(VLOOKUP($A36,'[1]liste reference'!$B$7:$P$904,2,0)),"",VLOOKUP($A36,'[1]liste reference'!$B$7:$P$904,2,0)),VLOOKUP($A36,'[1]liste reference'!$A$7:$P$904,3,0)),"")</f>
        <v/>
      </c>
      <c r="J36" s="481" t="str">
        <f aca="false">IF(ISNUMBER(H36),IF(ISERROR(VLOOKUP($A36,'[1]liste reference'!$A$7:$P$904,4,0)),IF(ISERROR(VLOOKUP($A36,'[1]liste reference'!$B$7:$P$904,3,0)),"",VLOOKUP($A36,'[1]liste reference'!$B$7:$P$904,3,0)),VLOOKUP($A36,'[1]liste reference'!$A$7:$P$904,4,0)),"")</f>
        <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Solanum dulcamara</v>
      </c>
      <c r="L36" s="498"/>
      <c r="M36" s="498"/>
      <c r="N36" s="498"/>
      <c r="O36" s="484"/>
      <c r="P36" s="485" t="n">
        <f aca="false">IF($A36="NEWCOD",IF($AC36="","No",$AC36),IF(ISTEXT($E36),"DEJA SAISI !",IF($A36="","",IF(ISERROR(VLOOKUP($A36,'[1]liste reference'!A$1:S$1048576,19,FALSE())),IF(ISERROR(VLOOKUP($A36,'[1]liste reference'!B$1:S$1048576,19,FALSE())),"",VLOOKUP($A36,'[1]liste reference'!B$1:S$1048576,19,FALSE())),VLOOKUP($A36,'[1]liste reference'!A$1:S$1048576,19,FALSE())))))</f>
        <v>1964</v>
      </c>
      <c r="Q36" s="486" t="n">
        <f aca="false">IF(ISTEXT(H36),"",(B36*$B$7/100)+(C36*$C$7/100))</f>
        <v>0.0062</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IF(A36="new.cod","NEWCOD",IF(AND((Z36=""),ISTEXT(A36)),A36,IF(Z36="","",INDEX('[1]liste reference'!$A$8:$A$904,Z36))))</f>
        <v>SOADUL</v>
      </c>
      <c r="Z36" s="280" t="n">
        <f aca="false">IF(ISERROR(MATCH(A36,'[1]liste reference'!$A$8:$A$904,0)),IF(ISERROR(MATCH(A36,'[1]liste reference'!$B$8:$B$904,0)),"",(MATCH(A36,'[1]liste reference'!$B$8:$B$904,0))),(MATCH(A36,'[1]liste reference'!$A$8:$A$904,0)))</f>
        <v>824</v>
      </c>
      <c r="AA36" s="491"/>
      <c r="AB36" s="492"/>
      <c r="AC36" s="492"/>
      <c r="BB36" s="280" t="n">
        <f aca="false">IF(A36="","",1)</f>
        <v>1</v>
      </c>
    </row>
    <row r="37" customFormat="false" ht="12.75" hidden="false" customHeight="false" outlineLevel="0" collapsed="false">
      <c r="A37" s="493"/>
      <c r="B37" s="494"/>
      <c r="C37" s="495"/>
      <c r="D37" s="477" t="str">
        <f aca="false">IF(ISERROR(VLOOKUP($A37,'[1]liste reference'!$A$7:$D$904,2,0)),IF(ISERROR(VLOOKUP($A37,'[1]liste reference'!$B$7:$D$904,1,0)),"",VLOOKUP($A37,'[1]liste reference'!$B$7:$D$904,1,0)),VLOOKUP($A37,'[1]liste reference'!$A$7:$D$904,2,0))</f>
        <v/>
      </c>
      <c r="E37" s="496" t="n">
        <f aca="false">IF(D37="",0,VLOOKUP(D37,D$22:D36,1,0))</f>
        <v>0</v>
      </c>
      <c r="F37" s="501" t="n">
        <f aca="false">($B37*$B$7+$C37*$C$7)/100</f>
        <v>0</v>
      </c>
      <c r="G37" s="479" t="str">
        <f aca="false">IF(A37="","",IF(ISERROR(VLOOKUP($A37,'[1]liste reference'!$A$7:$P$904,13,0)),IF(ISERROR(VLOOKUP($A37,'[1]liste reference'!$B$7:$P$904,12,0)),"    -",VLOOKUP($A37,'[1]liste reference'!$B$7:$P$904,12,0)),VLOOKUP($A37,'[1]liste reference'!$A$7:$P$904,13,0)))</f>
        <v/>
      </c>
      <c r="H37" s="480" t="str">
        <f aca="false">IF(A37="","x",IF(ISERROR(VLOOKUP($A37,'[1]liste reference'!$A$8:$P$904,14,0)),IF(ISERROR(VLOOKUP($A37,'[1]liste reference'!$B$8:$P$904,13,0)),"x",VLOOKUP($A37,'[1]liste reference'!$B$8:$P$904,13,0)),VLOOKUP($A37,'[1]liste reference'!$A$8:$P$904,14,0)))</f>
        <v>x</v>
      </c>
      <c r="I37" s="481" t="str">
        <f aca="false">IF(ISNUMBER(H37),IF(ISERROR(VLOOKUP($A37,'[1]liste reference'!$A$7:$P$904,3,0)),IF(ISERROR(VLOOKUP($A37,'[1]liste reference'!$B$7:$P$904,2,0)),"",VLOOKUP($A37,'[1]liste reference'!$B$7:$P$904,2,0)),VLOOKUP($A37,'[1]liste reference'!$A$7:$P$904,3,0)),"")</f>
        <v/>
      </c>
      <c r="J37" s="481" t="str">
        <f aca="false">IF(ISNUMBER(H37),IF(ISERROR(VLOOKUP($A37,'[1]liste reference'!$A$7:$P$904,4,0)),IF(ISERROR(VLOOKUP($A37,'[1]liste reference'!$B$7:$P$904,3,0)),"",VLOOKUP($A37,'[1]liste reference'!$B$7:$P$904,3,0)),VLOOKUP($A37,'[1]liste reference'!$A$7:$P$904,4,0)),"")</f>
        <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498"/>
      <c r="M37" s="498"/>
      <c r="N37" s="498"/>
      <c r="O37" s="484"/>
      <c r="P37" s="485" t="str">
        <f aca="false">IF($A37="NEWCOD",IF($AC37="","No",$AC37),IF(ISTEXT($E37),"DEJA SAISI !",IF($A37="","",IF(ISERROR(VLOOKUP($A37,'[1]liste reference'!A$1:S$1048576,19,FALSE())),IF(ISERROR(VLOOKUP($A37,'[1]liste reference'!B$1:S$1048576,19,FALSE())),"",VLOOKUP($A37,'[1]liste reference'!B$1:S$1048576,19,FALSE())),VLOOKUP($A37,'[1]liste reference'!A$1:S$1048576,19,FALSE())))))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IF(A37="new.cod","NEWCOD",IF(AND((Z37=""),ISTEXT(A37)),A37,IF(Z37="","",INDEX('[1]liste reference'!$A$8:$A$904,Z37))))</f>
        <v/>
      </c>
      <c r="Z37" s="280" t="str">
        <f aca="false">IF(ISERROR(MATCH(A37,'[1]liste reference'!$A$8:$A$904,0)),IF(ISERROR(MATCH(A37,'[1]liste reference'!$B$8:$B$904,0)),"",(MATCH(A37,'[1]liste reference'!$B$8:$B$904,0))),(MATCH(A37,'[1]liste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IF(ISERROR(VLOOKUP($A38,'[1]liste reference'!$A$7:$D$904,2,0)),IF(ISERROR(VLOOKUP($A38,'[1]liste reference'!$B$7:$D$904,1,0)),"",VLOOKUP($A38,'[1]liste reference'!$B$7:$D$904,1,0)),VLOOKUP($A38,'[1]liste reference'!$A$7:$D$904,2,0))</f>
        <v/>
      </c>
      <c r="E38" s="496" t="n">
        <f aca="false">IF(D38="",0,VLOOKUP(D38,D$22:D37,1,0))</f>
        <v>0</v>
      </c>
      <c r="F38" s="501" t="n">
        <f aca="false">($B38*$B$7+$C38*$C$7)/100</f>
        <v>0</v>
      </c>
      <c r="G38" s="479" t="str">
        <f aca="false">IF(A38="","",IF(ISERROR(VLOOKUP($A38,'[1]liste reference'!$A$7:$P$904,13,0)),IF(ISERROR(VLOOKUP($A38,'[1]liste reference'!$B$7:$P$904,12,0)),"    -",VLOOKUP($A38,'[1]liste reference'!$B$7:$P$904,12,0)),VLOOKUP($A38,'[1]liste reference'!$A$7:$P$904,13,0)))</f>
        <v/>
      </c>
      <c r="H38" s="480" t="str">
        <f aca="false">IF(A38="","x",IF(ISERROR(VLOOKUP($A38,'[1]liste reference'!$A$8:$P$904,14,0)),IF(ISERROR(VLOOKUP($A38,'[1]liste reference'!$B$8:$P$904,13,0)),"x",VLOOKUP($A38,'[1]liste reference'!$B$8:$P$904,13,0)),VLOOKUP($A38,'[1]liste reference'!$A$8:$P$904,14,0)))</f>
        <v>x</v>
      </c>
      <c r="I38" s="481" t="str">
        <f aca="false">IF(ISNUMBER(H38),IF(ISERROR(VLOOKUP($A38,'[1]liste reference'!$A$7:$P$904,3,0)),IF(ISERROR(VLOOKUP($A38,'[1]liste reference'!$B$7:$P$904,2,0)),"",VLOOKUP($A38,'[1]liste reference'!$B$7:$P$904,2,0)),VLOOKUP($A38,'[1]liste reference'!$A$7:$P$904,3,0)),"")</f>
        <v/>
      </c>
      <c r="J38" s="481" t="str">
        <f aca="false">IF(ISNUMBER(H38),IF(ISERROR(VLOOKUP($A38,'[1]liste reference'!$A$7:$P$904,4,0)),IF(ISERROR(VLOOKUP($A38,'[1]liste reference'!$B$7:$P$904,3,0)),"",VLOOKUP($A38,'[1]liste reference'!$B$7:$P$904,3,0)),VLOOKUP($A38,'[1]liste reference'!$A$7:$P$904,4,0)),"")</f>
        <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498"/>
      <c r="M38" s="498"/>
      <c r="N38" s="498"/>
      <c r="O38" s="484"/>
      <c r="P38" s="485" t="str">
        <f aca="false">IF($A38="NEWCOD",IF($AC38="","No",$AC38),IF(ISTEXT($E38),"DEJA SAISI !",IF($A38="","",IF(ISERROR(VLOOKUP($A38,'[1]liste reference'!A$1:S$1048576,19,FALSE())),IF(ISERROR(VLOOKUP($A38,'[1]liste reference'!B$1:S$1048576,19,FALSE())),"",VLOOKUP($A38,'[1]liste reference'!B$1:S$1048576,19,FALSE())),VLOOKUP($A38,'[1]liste reference'!A$1:S$1048576,19,FALSE())))))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IF(A38="new.cod","NEWCOD",IF(AND((Z38=""),ISTEXT(A38)),A38,IF(Z38="","",INDEX('[1]liste reference'!$A$8:$A$904,Z38))))</f>
        <v/>
      </c>
      <c r="Z38" s="280" t="str">
        <f aca="false">IF(ISERROR(MATCH(A38,'[1]liste reference'!$A$8:$A$904,0)),IF(ISERROR(MATCH(A38,'[1]liste reference'!$B$8:$B$904,0)),"",(MATCH(A38,'[1]liste reference'!$B$8:$B$904,0))),(MATCH(A38,'[1]liste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IF(ISERROR(VLOOKUP($A39,'[1]liste reference'!$A$7:$D$904,2,0)),IF(ISERROR(VLOOKUP($A39,'[1]liste reference'!$B$7:$D$904,1,0)),"",VLOOKUP($A39,'[1]liste reference'!$B$7:$D$904,1,0)),VLOOKUP($A39,'[1]liste reference'!$A$7:$D$904,2,0))</f>
        <v/>
      </c>
      <c r="E39" s="496" t="n">
        <f aca="false">IF(D39="",0,VLOOKUP(D39,D$22:D38,1,0))</f>
        <v>0</v>
      </c>
      <c r="F39" s="501" t="n">
        <f aca="false">($B39*$B$7+$C39*$C$7)/100</f>
        <v>0</v>
      </c>
      <c r="G39" s="479" t="str">
        <f aca="false">IF(A39="","",IF(ISERROR(VLOOKUP($A39,'[1]liste reference'!$A$7:$P$904,13,0)),IF(ISERROR(VLOOKUP($A39,'[1]liste reference'!$B$7:$P$904,12,0)),"    -",VLOOKUP($A39,'[1]liste reference'!$B$7:$P$904,12,0)),VLOOKUP($A39,'[1]liste reference'!$A$7:$P$904,13,0)))</f>
        <v/>
      </c>
      <c r="H39" s="480" t="str">
        <f aca="false">IF(A39="","x",IF(ISERROR(VLOOKUP($A39,'[1]liste reference'!$A$8:$P$904,14,0)),IF(ISERROR(VLOOKUP($A39,'[1]liste reference'!$B$8:$P$904,13,0)),"x",VLOOKUP($A39,'[1]liste reference'!$B$8:$P$904,13,0)),VLOOKUP($A39,'[1]liste reference'!$A$8:$P$904,14,0)))</f>
        <v>x</v>
      </c>
      <c r="I39" s="481" t="str">
        <f aca="false">IF(ISNUMBER(H39),IF(ISERROR(VLOOKUP($A39,'[1]liste reference'!$A$7:$P$904,3,0)),IF(ISERROR(VLOOKUP($A39,'[1]liste reference'!$B$7:$P$904,2,0)),"",VLOOKUP($A39,'[1]liste reference'!$B$7:$P$904,2,0)),VLOOKUP($A39,'[1]liste reference'!$A$7:$P$904,3,0)),"")</f>
        <v/>
      </c>
      <c r="J39" s="481" t="str">
        <f aca="false">IF(ISNUMBER(H39),IF(ISERROR(VLOOKUP($A39,'[1]liste reference'!$A$7:$P$904,4,0)),IF(ISERROR(VLOOKUP($A39,'[1]liste reference'!$B$7:$P$904,3,0)),"",VLOOKUP($A39,'[1]liste reference'!$B$7:$P$904,3,0)),VLOOKUP($A39,'[1]liste reference'!$A$7:$P$904,4,0)),"")</f>
        <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498"/>
      <c r="M39" s="498"/>
      <c r="N39" s="498"/>
      <c r="O39" s="484"/>
      <c r="P39" s="485" t="str">
        <f aca="false">IF($A39="NEWCOD",IF($AC39="","No",$AC39),IF(ISTEXT($E39),"DEJA SAISI !",IF($A39="","",IF(ISERROR(VLOOKUP($A39,'[1]liste reference'!A$1:S$1048576,19,FALSE())),IF(ISERROR(VLOOKUP($A39,'[1]liste reference'!B$1:S$1048576,19,FALSE())),"",VLOOKUP($A39,'[1]liste reference'!B$1:S$1048576,19,FALSE())),VLOOKUP($A39,'[1]liste reference'!A$1:S$1048576,19,FALSE())))))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IF(A39="new.cod","NEWCOD",IF(AND((Z39=""),ISTEXT(A39)),A39,IF(Z39="","",INDEX('[1]liste reference'!$A$8:$A$904,Z39))))</f>
        <v/>
      </c>
      <c r="Z39" s="280" t="str">
        <f aca="false">IF(ISERROR(MATCH(A39,'[1]liste reference'!$A$8:$A$904,0)),IF(ISERROR(MATCH(A39,'[1]liste reference'!$B$8:$B$904,0)),"",(MATCH(A39,'[1]liste reference'!$B$8:$B$904,0))),(MATCH(A39,'[1]liste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IF(ISERROR(VLOOKUP($A40,'[1]liste reference'!$A$7:$D$904,2,0)),IF(ISERROR(VLOOKUP($A40,'[1]liste reference'!$B$7:$D$904,1,0)),"",VLOOKUP($A40,'[1]liste reference'!$B$7:$D$904,1,0)),VLOOKUP($A40,'[1]liste reference'!$A$7:$D$904,2,0))</f>
        <v/>
      </c>
      <c r="E40" s="496" t="n">
        <f aca="false">IF(D40="",0,VLOOKUP(D40,D$22:D39,1,0))</f>
        <v>0</v>
      </c>
      <c r="F40" s="501" t="n">
        <f aca="false">($B40*$B$7+$C40*$C$7)/100</f>
        <v>0</v>
      </c>
      <c r="G40" s="479" t="str">
        <f aca="false">IF(A40="","",IF(ISERROR(VLOOKUP($A40,'[1]liste reference'!$A$7:$P$904,13,0)),IF(ISERROR(VLOOKUP($A40,'[1]liste reference'!$B$7:$P$904,12,0)),"    -",VLOOKUP($A40,'[1]liste reference'!$B$7:$P$904,12,0)),VLOOKUP($A40,'[1]liste reference'!$A$7:$P$904,13,0)))</f>
        <v/>
      </c>
      <c r="H40" s="480" t="str">
        <f aca="false">IF(A40="","x",IF(ISERROR(VLOOKUP($A40,'[1]liste reference'!$A$8:$P$904,14,0)),IF(ISERROR(VLOOKUP($A40,'[1]liste reference'!$B$8:$P$904,13,0)),"x",VLOOKUP($A40,'[1]liste reference'!$B$8:$P$904,13,0)),VLOOKUP($A40,'[1]liste reference'!$A$8:$P$904,14,0)))</f>
        <v>x</v>
      </c>
      <c r="I40" s="481" t="str">
        <f aca="false">IF(ISNUMBER(H40),IF(ISERROR(VLOOKUP($A40,'[1]liste reference'!$A$7:$P$904,3,0)),IF(ISERROR(VLOOKUP($A40,'[1]liste reference'!$B$7:$P$904,2,0)),"",VLOOKUP($A40,'[1]liste reference'!$B$7:$P$904,2,0)),VLOOKUP($A40,'[1]liste reference'!$A$7:$P$904,3,0)),"")</f>
        <v/>
      </c>
      <c r="J40" s="481" t="str">
        <f aca="false">IF(ISNUMBER(H40),IF(ISERROR(VLOOKUP($A40,'[1]liste reference'!$A$7:$P$904,4,0)),IF(ISERROR(VLOOKUP($A40,'[1]liste reference'!$B$7:$P$904,3,0)),"",VLOOKUP($A40,'[1]liste reference'!$B$7:$P$904,3,0)),VLOOKUP($A40,'[1]liste reference'!$A$7:$P$904,4,0)),"")</f>
        <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498"/>
      <c r="M40" s="498"/>
      <c r="N40" s="498"/>
      <c r="O40" s="484"/>
      <c r="P40" s="485" t="str">
        <f aca="false">IF($A40="NEWCOD",IF($AC40="","No",$AC40),IF(ISTEXT($E40),"DEJA SAISI !",IF($A40="","",IF(ISERROR(VLOOKUP($A40,'[1]liste reference'!A$1:S$1048576,19,FALSE())),IF(ISERROR(VLOOKUP($A40,'[1]liste reference'!B$1:S$1048576,19,FALSE())),"",VLOOKUP($A40,'[1]liste reference'!B$1:S$1048576,19,FALSE())),VLOOKUP($A40,'[1]liste reference'!A$1:S$1048576,19,FALSE())))))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IF(A40="new.cod","NEWCOD",IF(AND((Z40=""),ISTEXT(A40)),A40,IF(Z40="","",INDEX('[1]liste reference'!$A$8:$A$904,Z40))))</f>
        <v/>
      </c>
      <c r="Z40" s="280" t="str">
        <f aca="false">IF(ISERROR(MATCH(A40,'[1]liste reference'!$A$8:$A$904,0)),IF(ISERROR(MATCH(A40,'[1]liste reference'!$B$8:$B$904,0)),"",(MATCH(A40,'[1]liste reference'!$B$8:$B$904,0))),(MATCH(A40,'[1]liste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IF(ISERROR(VLOOKUP($A41,'[1]liste reference'!$A$7:$D$904,2,0)),IF(ISERROR(VLOOKUP($A41,'[1]liste reference'!$B$7:$D$904,1,0)),"",VLOOKUP($A41,'[1]liste reference'!$B$7:$D$904,1,0)),VLOOKUP($A41,'[1]liste reference'!$A$7:$D$904,2,0))</f>
        <v/>
      </c>
      <c r="E41" s="496" t="n">
        <f aca="false">IF(D41="",0,VLOOKUP(D41,D$22:D40,1,0))</f>
        <v>0</v>
      </c>
      <c r="F41" s="501" t="n">
        <f aca="false">($B41*$B$7+$C41*$C$7)/100</f>
        <v>0</v>
      </c>
      <c r="G41" s="479" t="str">
        <f aca="false">IF(A41="","",IF(ISERROR(VLOOKUP($A41,'[1]liste reference'!$A$7:$P$904,13,0)),IF(ISERROR(VLOOKUP($A41,'[1]liste reference'!$B$7:$P$904,12,0)),"    -",VLOOKUP($A41,'[1]liste reference'!$B$7:$P$904,12,0)),VLOOKUP($A41,'[1]liste reference'!$A$7:$P$904,13,0)))</f>
        <v/>
      </c>
      <c r="H41" s="480" t="str">
        <f aca="false">IF(A41="","x",IF(ISERROR(VLOOKUP($A41,'[1]liste reference'!$A$8:$P$904,14,0)),IF(ISERROR(VLOOKUP($A41,'[1]liste reference'!$B$8:$P$904,13,0)),"x",VLOOKUP($A41,'[1]liste reference'!$B$8:$P$904,13,0)),VLOOKUP($A41,'[1]liste reference'!$A$8:$P$904,14,0)))</f>
        <v>x</v>
      </c>
      <c r="I41" s="481" t="str">
        <f aca="false">IF(ISNUMBER(H41),IF(ISERROR(VLOOKUP($A41,'[1]liste reference'!$A$7:$P$904,3,0)),IF(ISERROR(VLOOKUP($A41,'[1]liste reference'!$B$7:$P$904,2,0)),"",VLOOKUP($A41,'[1]liste reference'!$B$7:$P$904,2,0)),VLOOKUP($A41,'[1]liste reference'!$A$7:$P$904,3,0)),"")</f>
        <v/>
      </c>
      <c r="J41" s="481" t="str">
        <f aca="false">IF(ISNUMBER(H41),IF(ISERROR(VLOOKUP($A41,'[1]liste reference'!$A$7:$P$904,4,0)),IF(ISERROR(VLOOKUP($A41,'[1]liste reference'!$B$7:$P$904,3,0)),"",VLOOKUP($A41,'[1]liste reference'!$B$7:$P$904,3,0)),VLOOKUP($A41,'[1]liste reference'!$A$7:$P$904,4,0)),"")</f>
        <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498"/>
      <c r="M41" s="498"/>
      <c r="N41" s="498"/>
      <c r="O41" s="484"/>
      <c r="P41" s="485" t="str">
        <f aca="false">IF($A41="NEWCOD",IF($AC41="","No",$AC41),IF(ISTEXT($E41),"DEJA SAISI !",IF($A41="","",IF(ISERROR(VLOOKUP($A41,'[1]liste reference'!A$1:S$1048576,19,FALSE())),IF(ISERROR(VLOOKUP($A41,'[1]liste reference'!B$1:S$1048576,19,FALSE())),"",VLOOKUP($A41,'[1]liste reference'!B$1:S$1048576,19,FALSE())),VLOOKUP($A41,'[1]liste reference'!A$1:S$1048576,19,FALSE())))))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IF(A41="new.cod","NEWCOD",IF(AND((Z41=""),ISTEXT(A41)),A41,IF(Z41="","",INDEX('[1]liste reference'!$A$8:$A$904,Z41))))</f>
        <v/>
      </c>
      <c r="Z41" s="280" t="str">
        <f aca="false">IF(ISERROR(MATCH(A41,'[1]liste reference'!$A$8:$A$904,0)),IF(ISERROR(MATCH(A41,'[1]liste reference'!$B$8:$B$904,0)),"",(MATCH(A41,'[1]liste reference'!$B$8:$B$904,0))),(MATCH(A41,'[1]liste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IF(ISERROR(VLOOKUP($A42,'[1]liste reference'!$A$7:$D$904,2,0)),IF(ISERROR(VLOOKUP($A42,'[1]liste reference'!$B$7:$D$904,1,0)),"",VLOOKUP($A42,'[1]liste reference'!$B$7:$D$904,1,0)),VLOOKUP($A42,'[1]liste reference'!$A$7:$D$904,2,0))</f>
        <v/>
      </c>
      <c r="E42" s="496" t="n">
        <f aca="false">IF(D42="",0,VLOOKUP(D42,D$22:D41,1,0))</f>
        <v>0</v>
      </c>
      <c r="F42" s="501" t="n">
        <f aca="false">($B42*$B$7+$C42*$C$7)/100</f>
        <v>0</v>
      </c>
      <c r="G42" s="479" t="str">
        <f aca="false">IF(A42="","",IF(ISERROR(VLOOKUP($A42,'[1]liste reference'!$A$7:$P$904,13,0)),IF(ISERROR(VLOOKUP($A42,'[1]liste reference'!$B$7:$P$904,12,0)),"    -",VLOOKUP($A42,'[1]liste reference'!$B$7:$P$904,12,0)),VLOOKUP($A42,'[1]liste reference'!$A$7:$P$904,13,0)))</f>
        <v/>
      </c>
      <c r="H42" s="480" t="str">
        <f aca="false">IF(A42="","x",IF(ISERROR(VLOOKUP($A42,'[1]liste reference'!$A$8:$P$904,14,0)),IF(ISERROR(VLOOKUP($A42,'[1]liste reference'!$B$8:$P$904,13,0)),"x",VLOOKUP($A42,'[1]liste reference'!$B$8:$P$904,13,0)),VLOOKUP($A42,'[1]liste reference'!$A$8:$P$904,14,0)))</f>
        <v>x</v>
      </c>
      <c r="I42" s="481" t="str">
        <f aca="false">IF(ISNUMBER(H42),IF(ISERROR(VLOOKUP($A42,'[1]liste reference'!$A$7:$P$904,3,0)),IF(ISERROR(VLOOKUP($A42,'[1]liste reference'!$B$7:$P$904,2,0)),"",VLOOKUP($A42,'[1]liste reference'!$B$7:$P$904,2,0)),VLOOKUP($A42,'[1]liste reference'!$A$7:$P$904,3,0)),"")</f>
        <v/>
      </c>
      <c r="J42" s="481" t="str">
        <f aca="false">IF(ISNUMBER(H42),IF(ISERROR(VLOOKUP($A42,'[1]liste reference'!$A$7:$P$904,4,0)),IF(ISERROR(VLOOKUP($A42,'[1]liste reference'!$B$7:$P$904,3,0)),"",VLOOKUP($A42,'[1]liste reference'!$B$7:$P$904,3,0)),VLOOKUP($A42,'[1]liste reference'!$A$7:$P$904,4,0)),"")</f>
        <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498"/>
      <c r="M42" s="498"/>
      <c r="N42" s="498"/>
      <c r="O42" s="484"/>
      <c r="P42" s="485" t="str">
        <f aca="false">IF($A42="NEWCOD",IF($AC42="","No",$AC42),IF(ISTEXT($E42),"DEJA SAISI !",IF($A42="","",IF(ISERROR(VLOOKUP($A42,'[1]liste reference'!A$1:S$1048576,19,FALSE())),IF(ISERROR(VLOOKUP($A42,'[1]liste reference'!B$1:S$1048576,19,FALSE())),"",VLOOKUP($A42,'[1]liste reference'!B$1:S$1048576,19,FALSE())),VLOOKUP($A42,'[1]liste reference'!A$1:S$1048576,19,FALSE())))))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IF(A42="new.cod","NEWCOD",IF(AND((Z42=""),ISTEXT(A42)),A42,IF(Z42="","",INDEX('[1]liste reference'!$A$8:$A$904,Z42))))</f>
        <v/>
      </c>
      <c r="Z42" s="280" t="str">
        <f aca="false">IF(ISERROR(MATCH(A42,'[1]liste reference'!$A$8:$A$904,0)),IF(ISERROR(MATCH(A42,'[1]liste reference'!$B$8:$B$904,0)),"",(MATCH(A42,'[1]liste reference'!$B$8:$B$904,0))),(MATCH(A42,'[1]liste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IF(ISERROR(VLOOKUP($A43,'[1]liste reference'!$A$7:$D$904,2,0)),IF(ISERROR(VLOOKUP($A43,'[1]liste reference'!$B$7:$D$904,1,0)),"",VLOOKUP($A43,'[1]liste reference'!$B$7:$D$904,1,0)),VLOOKUP($A43,'[1]liste reference'!$A$7:$D$904,2,0))</f>
        <v/>
      </c>
      <c r="E43" s="496" t="n">
        <f aca="false">IF(D43="",0,VLOOKUP(D43,D$22:D42,1,0))</f>
        <v>0</v>
      </c>
      <c r="F43" s="501" t="n">
        <f aca="false">($B43*$B$7+$C43*$C$7)/100</f>
        <v>0</v>
      </c>
      <c r="G43" s="479" t="str">
        <f aca="false">IF(A43="","",IF(ISERROR(VLOOKUP($A43,'[1]liste reference'!$A$7:$P$904,13,0)),IF(ISERROR(VLOOKUP($A43,'[1]liste reference'!$B$7:$P$904,12,0)),"    -",VLOOKUP($A43,'[1]liste reference'!$B$7:$P$904,12,0)),VLOOKUP($A43,'[1]liste reference'!$A$7:$P$904,13,0)))</f>
        <v/>
      </c>
      <c r="H43" s="480" t="str">
        <f aca="false">IF(A43="","x",IF(ISERROR(VLOOKUP($A43,'[1]liste reference'!$A$8:$P$904,14,0)),IF(ISERROR(VLOOKUP($A43,'[1]liste reference'!$B$8:$P$904,13,0)),"x",VLOOKUP($A43,'[1]liste reference'!$B$8:$P$904,13,0)),VLOOKUP($A43,'[1]liste reference'!$A$8:$P$904,14,0)))</f>
        <v>x</v>
      </c>
      <c r="I43" s="481" t="str">
        <f aca="false">IF(ISNUMBER(H43),IF(ISERROR(VLOOKUP($A43,'[1]liste reference'!$A$7:$P$904,3,0)),IF(ISERROR(VLOOKUP($A43,'[1]liste reference'!$B$7:$P$904,2,0)),"",VLOOKUP($A43,'[1]liste reference'!$B$7:$P$904,2,0)),VLOOKUP($A43,'[1]liste reference'!$A$7:$P$904,3,0)),"")</f>
        <v/>
      </c>
      <c r="J43" s="481" t="str">
        <f aca="false">IF(ISNUMBER(H43),IF(ISERROR(VLOOKUP($A43,'[1]liste reference'!$A$7:$P$904,4,0)),IF(ISERROR(VLOOKUP($A43,'[1]liste reference'!$B$7:$P$904,3,0)),"",VLOOKUP($A43,'[1]liste reference'!$B$7:$P$904,3,0)),VLOOKUP($A43,'[1]liste reference'!$A$7:$P$904,4,0)),"")</f>
        <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498"/>
      <c r="M43" s="498"/>
      <c r="N43" s="498"/>
      <c r="O43" s="484"/>
      <c r="P43" s="485" t="str">
        <f aca="false">IF($A43="NEWCOD",IF($AC43="","No",$AC43),IF(ISTEXT($E43),"DEJA SAISI !",IF($A43="","",IF(ISERROR(VLOOKUP($A43,'[1]liste reference'!A$1:S$1048576,19,FALSE())),IF(ISERROR(VLOOKUP($A43,'[1]liste reference'!B$1:S$1048576,19,FALSE())),"",VLOOKUP($A43,'[1]liste reference'!B$1:S$1048576,19,FALSE())),VLOOKUP($A43,'[1]liste reference'!A$1:S$1048576,19,FALSE())))))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IF(A43="new.cod","NEWCOD",IF(AND((Z43=""),ISTEXT(A43)),A43,IF(Z43="","",INDEX('[1]liste reference'!$A$8:$A$904,Z43))))</f>
        <v/>
      </c>
      <c r="Z43" s="280" t="str">
        <f aca="false">IF(ISERROR(MATCH(A43,'[1]liste reference'!$A$8:$A$904,0)),IF(ISERROR(MATCH(A43,'[1]liste reference'!$B$8:$B$904,0)),"",(MATCH(A43,'[1]liste reference'!$B$8:$B$904,0))),(MATCH(A43,'[1]liste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IF(ISERROR(VLOOKUP($A44,'[1]liste reference'!$A$7:$D$904,2,0)),IF(ISERROR(VLOOKUP($A44,'[1]liste reference'!$B$7:$D$904,1,0)),"",VLOOKUP($A44,'[1]liste reference'!$B$7:$D$904,1,0)),VLOOKUP($A44,'[1]liste reference'!$A$7:$D$904,2,0))</f>
        <v/>
      </c>
      <c r="E44" s="496" t="n">
        <f aca="false">IF(D44="",0,VLOOKUP(D44,D$22:D43,1,0))</f>
        <v>0</v>
      </c>
      <c r="F44" s="501" t="n">
        <f aca="false">($B44*$B$7+$C44*$C$7)/100</f>
        <v>0</v>
      </c>
      <c r="G44" s="479" t="str">
        <f aca="false">IF(A44="","",IF(ISERROR(VLOOKUP($A44,'[1]liste reference'!$A$7:$P$904,13,0)),IF(ISERROR(VLOOKUP($A44,'[1]liste reference'!$B$7:$P$904,12,0)),"    -",VLOOKUP($A44,'[1]liste reference'!$B$7:$P$904,12,0)),VLOOKUP($A44,'[1]liste reference'!$A$7:$P$904,13,0)))</f>
        <v/>
      </c>
      <c r="H44" s="480" t="str">
        <f aca="false">IF(A44="","x",IF(ISERROR(VLOOKUP($A44,'[1]liste reference'!$A$8:$P$904,14,0)),IF(ISERROR(VLOOKUP($A44,'[1]liste reference'!$B$8:$P$904,13,0)),"x",VLOOKUP($A44,'[1]liste reference'!$B$8:$P$904,13,0)),VLOOKUP($A44,'[1]liste reference'!$A$8:$P$904,14,0)))</f>
        <v>x</v>
      </c>
      <c r="I44" s="481" t="str">
        <f aca="false">IF(ISNUMBER(H44),IF(ISERROR(VLOOKUP($A44,'[1]liste reference'!$A$7:$P$904,3,0)),IF(ISERROR(VLOOKUP($A44,'[1]liste reference'!$B$7:$P$904,2,0)),"",VLOOKUP($A44,'[1]liste reference'!$B$7:$P$904,2,0)),VLOOKUP($A44,'[1]liste reference'!$A$7:$P$904,3,0)),"")</f>
        <v/>
      </c>
      <c r="J44" s="481" t="str">
        <f aca="false">IF(ISNUMBER(H44),IF(ISERROR(VLOOKUP($A44,'[1]liste reference'!$A$7:$P$904,4,0)),IF(ISERROR(VLOOKUP($A44,'[1]liste reference'!$B$7:$P$904,3,0)),"",VLOOKUP($A44,'[1]liste reference'!$B$7:$P$904,3,0)),VLOOKUP($A44,'[1]liste reference'!$A$7:$P$904,4,0)),"")</f>
        <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498"/>
      <c r="M44" s="498"/>
      <c r="N44" s="498"/>
      <c r="O44" s="484"/>
      <c r="P44" s="485" t="str">
        <f aca="false">IF($A44="NEWCOD",IF($AC44="","No",$AC44),IF(ISTEXT($E44),"DEJA SAISI !",IF($A44="","",IF(ISERROR(VLOOKUP($A44,'[1]liste reference'!A$1:S$1048576,19,FALSE())),IF(ISERROR(VLOOKUP($A44,'[1]liste reference'!B$1:S$1048576,19,FALSE())),"",VLOOKUP($A44,'[1]liste reference'!B$1:S$1048576,19,FALSE())),VLOOKUP($A44,'[1]liste reference'!A$1:S$1048576,19,FALSE())))))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IF(A44="new.cod","NEWCOD",IF(AND((Z44=""),ISTEXT(A44)),A44,IF(Z44="","",INDEX('[1]liste reference'!$A$8:$A$904,Z44))))</f>
        <v/>
      </c>
      <c r="Z44" s="280" t="str">
        <f aca="false">IF(ISERROR(MATCH(A44,'[1]liste reference'!$A$8:$A$904,0)),IF(ISERROR(MATCH(A44,'[1]liste reference'!$B$8:$B$904,0)),"",(MATCH(A44,'[1]liste reference'!$B$8:$B$904,0))),(MATCH(A44,'[1]liste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IF(ISERROR(VLOOKUP($A45,'[1]liste reference'!$A$7:$D$904,2,0)),IF(ISERROR(VLOOKUP($A45,'[1]liste reference'!$B$7:$D$904,1,0)),"",VLOOKUP($A45,'[1]liste reference'!$B$7:$D$904,1,0)),VLOOKUP($A45,'[1]liste reference'!$A$7:$D$904,2,0))</f>
        <v/>
      </c>
      <c r="E45" s="496" t="n">
        <f aca="false">IF(D45="",0,VLOOKUP(D45,D$22:D44,1,0))</f>
        <v>0</v>
      </c>
      <c r="F45" s="501" t="n">
        <f aca="false">($B45*$B$7+$C45*$C$7)/100</f>
        <v>0</v>
      </c>
      <c r="G45" s="479" t="str">
        <f aca="false">IF(A45="","",IF(ISERROR(VLOOKUP($A45,'[1]liste reference'!$A$7:$P$904,13,0)),IF(ISERROR(VLOOKUP($A45,'[1]liste reference'!$B$7:$P$904,12,0)),"    -",VLOOKUP($A45,'[1]liste reference'!$B$7:$P$904,12,0)),VLOOKUP($A45,'[1]liste reference'!$A$7:$P$904,13,0)))</f>
        <v/>
      </c>
      <c r="H45" s="480" t="str">
        <f aca="false">IF(A45="","x",IF(ISERROR(VLOOKUP($A45,'[1]liste reference'!$A$8:$P$904,14,0)),IF(ISERROR(VLOOKUP($A45,'[1]liste reference'!$B$8:$P$904,13,0)),"x",VLOOKUP($A45,'[1]liste reference'!$B$8:$P$904,13,0)),VLOOKUP($A45,'[1]liste reference'!$A$8:$P$904,14,0)))</f>
        <v>x</v>
      </c>
      <c r="I45" s="481" t="str">
        <f aca="false">IF(ISNUMBER(H45),IF(ISERROR(VLOOKUP($A45,'[1]liste reference'!$A$7:$P$904,3,0)),IF(ISERROR(VLOOKUP($A45,'[1]liste reference'!$B$7:$P$904,2,0)),"",VLOOKUP($A45,'[1]liste reference'!$B$7:$P$904,2,0)),VLOOKUP($A45,'[1]liste reference'!$A$7:$P$904,3,0)),"")</f>
        <v/>
      </c>
      <c r="J45" s="481" t="str">
        <f aca="false">IF(ISNUMBER(H45),IF(ISERROR(VLOOKUP($A45,'[1]liste reference'!$A$7:$P$904,4,0)),IF(ISERROR(VLOOKUP($A45,'[1]liste reference'!$B$7:$P$904,3,0)),"",VLOOKUP($A45,'[1]liste reference'!$B$7:$P$904,3,0)),VLOOKUP($A45,'[1]liste reference'!$A$7:$P$904,4,0)),"")</f>
        <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498"/>
      <c r="M45" s="498"/>
      <c r="N45" s="498"/>
      <c r="O45" s="484"/>
      <c r="P45" s="485" t="str">
        <f aca="false">IF($A45="NEWCOD",IF($AC45="","No",$AC45),IF(ISTEXT($E45),"DEJA SAISI !",IF($A45="","",IF(ISERROR(VLOOKUP($A45,'[1]liste reference'!A$1:S$1048576,19,FALSE())),IF(ISERROR(VLOOKUP($A45,'[1]liste reference'!B$1:S$1048576,19,FALSE())),"",VLOOKUP($A45,'[1]liste reference'!B$1:S$1048576,19,FALSE())),VLOOKUP($A45,'[1]liste reference'!A$1:S$1048576,19,FALSE())))))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IF(A45="new.cod","NEWCOD",IF(AND((Z45=""),ISTEXT(A45)),A45,IF(Z45="","",INDEX('[1]liste reference'!$A$8:$A$904,Z45))))</f>
        <v/>
      </c>
      <c r="Z45" s="280" t="str">
        <f aca="false">IF(ISERROR(MATCH(A45,'[1]liste reference'!$A$8:$A$904,0)),IF(ISERROR(MATCH(A45,'[1]liste reference'!$B$8:$B$904,0)),"",(MATCH(A45,'[1]liste reference'!$B$8:$B$904,0))),(MATCH(A45,'[1]liste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IF(ISERROR(VLOOKUP($A46,'[1]liste reference'!$A$7:$D$904,2,0)),IF(ISERROR(VLOOKUP($A46,'[1]liste reference'!$B$7:$D$904,1,0)),"",VLOOKUP($A46,'[1]liste reference'!$B$7:$D$904,1,0)),VLOOKUP($A46,'[1]liste reference'!$A$7:$D$904,2,0))</f>
        <v/>
      </c>
      <c r="E46" s="496" t="n">
        <f aca="false">IF(D46="",0,VLOOKUP(D46,D$22:D39,1,0))</f>
        <v>0</v>
      </c>
      <c r="F46" s="501" t="n">
        <f aca="false">($B46*$B$7+$C46*$C$7)/100</f>
        <v>0</v>
      </c>
      <c r="G46" s="479" t="str">
        <f aca="false">IF(A46="","",IF(ISERROR(VLOOKUP($A46,'[1]liste reference'!$A$7:$P$904,13,0)),IF(ISERROR(VLOOKUP($A46,'[1]liste reference'!$B$7:$P$904,12,0)),"    -",VLOOKUP($A46,'[1]liste reference'!$B$7:$P$904,12,0)),VLOOKUP($A46,'[1]liste reference'!$A$7:$P$904,13,0)))</f>
        <v/>
      </c>
      <c r="H46" s="480" t="str">
        <f aca="false">IF(A46="","x",IF(ISERROR(VLOOKUP($A46,'[1]liste reference'!$A$8:$P$904,14,0)),IF(ISERROR(VLOOKUP($A46,'[1]liste reference'!$B$8:$P$904,13,0)),"x",VLOOKUP($A46,'[1]liste reference'!$B$8:$P$904,13,0)),VLOOKUP($A46,'[1]liste reference'!$A$8:$P$904,14,0)))</f>
        <v>x</v>
      </c>
      <c r="I46" s="481" t="str">
        <f aca="false">IF(ISNUMBER(H46),IF(ISERROR(VLOOKUP($A46,'[1]liste reference'!$A$7:$P$904,3,0)),IF(ISERROR(VLOOKUP($A46,'[1]liste reference'!$B$7:$P$904,2,0)),"",VLOOKUP($A46,'[1]liste reference'!$B$7:$P$904,2,0)),VLOOKUP($A46,'[1]liste reference'!$A$7:$P$904,3,0)),"")</f>
        <v/>
      </c>
      <c r="J46" s="481" t="str">
        <f aca="false">IF(ISNUMBER(H46),IF(ISERROR(VLOOKUP($A46,'[1]liste reference'!$A$7:$P$904,4,0)),IF(ISERROR(VLOOKUP($A46,'[1]liste reference'!$B$7:$P$904,3,0)),"",VLOOKUP($A46,'[1]liste reference'!$B$7:$P$904,3,0)),VLOOKUP($A46,'[1]liste reference'!$A$7:$P$904,4,0)),"")</f>
        <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498"/>
      <c r="M46" s="498"/>
      <c r="N46" s="498"/>
      <c r="O46" s="484"/>
      <c r="P46" s="485" t="str">
        <f aca="false">IF($A46="NEWCOD",IF($AC46="","No",$AC46),IF(ISTEXT($E46),"DEJA SAISI !",IF($A46="","",IF(ISERROR(VLOOKUP($A46,'[1]liste reference'!A$1:S$1048576,19,FALSE())),IF(ISERROR(VLOOKUP($A46,'[1]liste reference'!B$1:S$1048576,19,FALSE())),"",VLOOKUP($A46,'[1]liste reference'!B$1:S$1048576,19,FALSE())),VLOOKUP($A46,'[1]liste reference'!A$1:S$1048576,19,FALSE())))))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IF(A46="new.cod","NEWCOD",IF(AND((Z46=""),ISTEXT(A46)),A46,IF(Z46="","",INDEX('[1]liste reference'!$A$8:$A$904,Z46))))</f>
        <v/>
      </c>
      <c r="Z46" s="280" t="str">
        <f aca="false">IF(ISERROR(MATCH(A46,'[1]liste reference'!$A$8:$A$904,0)),IF(ISERROR(MATCH(A46,'[1]liste reference'!$B$8:$B$904,0)),"",(MATCH(A46,'[1]liste reference'!$B$8:$B$904,0))),(MATCH(A46,'[1]liste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IF(ISERROR(VLOOKUP($A47,'[1]liste reference'!$A$7:$D$904,2,0)),IF(ISERROR(VLOOKUP($A47,'[1]liste reference'!$B$7:$D$904,1,0)),"",VLOOKUP($A47,'[1]liste reference'!$B$7:$D$904,1,0)),VLOOKUP($A47,'[1]liste reference'!$A$7:$D$904,2,0))</f>
        <v/>
      </c>
      <c r="E47" s="496" t="n">
        <f aca="false">IF(D47="",0,VLOOKUP(D47,D$22:D39,1,0))</f>
        <v>0</v>
      </c>
      <c r="F47" s="501" t="n">
        <f aca="false">($B47*$B$7+$C47*$C$7)/100</f>
        <v>0</v>
      </c>
      <c r="G47" s="479" t="str">
        <f aca="false">IF(A47="","",IF(ISERROR(VLOOKUP($A47,'[1]liste reference'!$A$7:$P$904,13,0)),IF(ISERROR(VLOOKUP($A47,'[1]liste reference'!$B$7:$P$904,12,0)),"    -",VLOOKUP($A47,'[1]liste reference'!$B$7:$P$904,12,0)),VLOOKUP($A47,'[1]liste reference'!$A$7:$P$904,13,0)))</f>
        <v/>
      </c>
      <c r="H47" s="480" t="str">
        <f aca="false">IF(A47="","x",IF(ISERROR(VLOOKUP($A47,'[1]liste reference'!$A$8:$P$904,14,0)),IF(ISERROR(VLOOKUP($A47,'[1]liste reference'!$B$8:$P$904,13,0)),"x",VLOOKUP($A47,'[1]liste reference'!$B$8:$P$904,13,0)),VLOOKUP($A47,'[1]liste reference'!$A$8:$P$904,14,0)))</f>
        <v>x</v>
      </c>
      <c r="I47" s="481" t="str">
        <f aca="false">IF(ISNUMBER(H47),IF(ISERROR(VLOOKUP($A47,'[1]liste reference'!$A$7:$P$904,3,0)),IF(ISERROR(VLOOKUP($A47,'[1]liste reference'!$B$7:$P$904,2,0)),"",VLOOKUP($A47,'[1]liste reference'!$B$7:$P$904,2,0)),VLOOKUP($A47,'[1]liste reference'!$A$7:$P$904,3,0)),"")</f>
        <v/>
      </c>
      <c r="J47" s="481" t="str">
        <f aca="false">IF(ISNUMBER(H47),IF(ISERROR(VLOOKUP($A47,'[1]liste reference'!$A$7:$P$904,4,0)),IF(ISERROR(VLOOKUP($A47,'[1]liste reference'!$B$7:$P$904,3,0)),"",VLOOKUP($A47,'[1]liste reference'!$B$7:$P$904,3,0)),VLOOKUP($A47,'[1]liste reference'!$A$7:$P$904,4,0)),"")</f>
        <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498"/>
      <c r="M47" s="498"/>
      <c r="N47" s="498"/>
      <c r="O47" s="484"/>
      <c r="P47" s="485" t="str">
        <f aca="false">IF($A47="NEWCOD",IF($AC47="","No",$AC47),IF(ISTEXT($E47),"DEJA SAISI !",IF($A47="","",IF(ISERROR(VLOOKUP($A47,'[1]liste reference'!A$1:S$1048576,19,FALSE())),IF(ISERROR(VLOOKUP($A47,'[1]liste reference'!B$1:S$1048576,19,FALSE())),"",VLOOKUP($A47,'[1]liste reference'!B$1:S$1048576,19,FALSE())),VLOOKUP($A47,'[1]liste reference'!A$1:S$1048576,19,FALSE())))))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IF(A47="new.cod","NEWCOD",IF(AND((Z47=""),ISTEXT(A47)),A47,IF(Z47="","",INDEX('[1]liste reference'!$A$8:$A$904,Z47))))</f>
        <v/>
      </c>
      <c r="Z47" s="280" t="str">
        <f aca="false">IF(ISERROR(MATCH(A47,'[1]liste reference'!$A$8:$A$904,0)),IF(ISERROR(MATCH(A47,'[1]liste reference'!$B$8:$B$904,0)),"",(MATCH(A47,'[1]liste reference'!$B$8:$B$904,0))),(MATCH(A47,'[1]liste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IF(ISERROR(VLOOKUP($A48,'[1]liste reference'!$A$7:$D$904,2,0)),IF(ISERROR(VLOOKUP($A48,'[1]liste reference'!$B$7:$D$904,1,0)),"",VLOOKUP($A48,'[1]liste reference'!$B$7:$D$904,1,0)),VLOOKUP($A48,'[1]liste reference'!$A$7:$D$904,2,0))</f>
        <v/>
      </c>
      <c r="E48" s="496" t="n">
        <f aca="false">IF(D48="",0,VLOOKUP(D48,D$22:D40,1,0))</f>
        <v>0</v>
      </c>
      <c r="F48" s="501" t="n">
        <f aca="false">($B48*$B$7+$C48*$C$7)/100</f>
        <v>0</v>
      </c>
      <c r="G48" s="479" t="str">
        <f aca="false">IF(A48="","",IF(ISERROR(VLOOKUP($A48,'[1]liste reference'!$A$7:$P$904,13,0)),IF(ISERROR(VLOOKUP($A48,'[1]liste reference'!$B$7:$P$904,12,0)),"    -",VLOOKUP($A48,'[1]liste reference'!$B$7:$P$904,12,0)),VLOOKUP($A48,'[1]liste reference'!$A$7:$P$904,13,0)))</f>
        <v/>
      </c>
      <c r="H48" s="480" t="str">
        <f aca="false">IF(A48="","x",IF(ISERROR(VLOOKUP($A48,'[1]liste reference'!$A$8:$P$904,14,0)),IF(ISERROR(VLOOKUP($A48,'[1]liste reference'!$B$8:$P$904,13,0)),"x",VLOOKUP($A48,'[1]liste reference'!$B$8:$P$904,13,0)),VLOOKUP($A48,'[1]liste reference'!$A$8:$P$904,14,0)))</f>
        <v>x</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498"/>
      <c r="M48" s="498"/>
      <c r="N48" s="498"/>
      <c r="O48" s="484"/>
      <c r="P48" s="485" t="str">
        <f aca="false">IF($A48="NEWCOD",IF($AC48="","No",$AC48),IF(ISTEXT($E48),"DEJA SAISI !",IF($A48="","",IF(ISERROR(VLOOKUP($A48,'[1]liste reference'!A$1:S$1048576,19,FALSE())),IF(ISERROR(VLOOKUP($A48,'[1]liste reference'!B$1:S$1048576,19,FALSE())),"",VLOOKUP($A48,'[1]liste reference'!B$1:S$1048576,19,FALSE())),VLOOKUP($A48,'[1]liste reference'!A$1:S$1048576,19,FALSE())))))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IF(A48="new.cod","NEWCOD",IF(AND((Z48=""),ISTEXT(A48)),A48,IF(Z48="","",INDEX('[1]liste reference'!$A$8:$A$904,Z48))))</f>
        <v/>
      </c>
      <c r="Z48" s="280" t="str">
        <f aca="false">IF(ISERROR(MATCH(A48,'[1]liste reference'!$A$8:$A$904,0)),IF(ISERROR(MATCH(A48,'[1]liste reference'!$B$8:$B$904,0)),"",(MATCH(A48,'[1]liste reference'!$B$8:$B$904,0))),(MATCH(A48,'[1]liste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IF(ISERROR(VLOOKUP($A49,'[1]liste reference'!$A$7:$D$904,2,0)),IF(ISERROR(VLOOKUP($A49,'[1]liste reference'!$B$7:$D$904,1,0)),"",VLOOKUP($A49,'[1]liste reference'!$B$7:$D$904,1,0)),VLOOKUP($A49,'[1]liste reference'!$A$7:$D$904,2,0))</f>
        <v/>
      </c>
      <c r="E49" s="496" t="n">
        <f aca="false">IF(D49="",0,VLOOKUP(D49,D$22:D48,1,0))</f>
        <v>0</v>
      </c>
      <c r="F49" s="501" t="n">
        <f aca="false">($B49*$B$7+$C49*$C$7)/100</f>
        <v>0</v>
      </c>
      <c r="G49" s="479" t="str">
        <f aca="false">IF(A49="","",IF(ISERROR(VLOOKUP($A49,'[1]liste reference'!$A$7:$P$904,13,0)),IF(ISERROR(VLOOKUP($A49,'[1]liste reference'!$B$7:$P$904,12,0)),"    -",VLOOKUP($A49,'[1]liste reference'!$B$7:$P$904,12,0)),VLOOKUP($A49,'[1]liste reference'!$A$7:$P$904,13,0)))</f>
        <v/>
      </c>
      <c r="H49" s="480" t="str">
        <f aca="false">IF(A49="","x",IF(ISERROR(VLOOKUP($A49,'[1]liste reference'!$A$8:$P$904,14,0)),IF(ISERROR(VLOOKUP($A49,'[1]liste reference'!$B$8:$P$904,13,0)),"x",VLOOKUP($A49,'[1]liste reference'!$B$8:$P$904,13,0)),VLOOKUP($A49,'[1]liste reference'!$A$8:$P$904,14,0)))</f>
        <v>x</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498"/>
      <c r="M49" s="498"/>
      <c r="N49" s="498"/>
      <c r="O49" s="484"/>
      <c r="P49" s="485" t="str">
        <f aca="false">IF($A49="NEWCOD",IF($AC49="","No",$AC49),IF(ISTEXT($E49),"DEJA SAISI !",IF($A49="","",IF(ISERROR(VLOOKUP($A49,'[1]liste reference'!A$1:S$1048576,19,FALSE())),IF(ISERROR(VLOOKUP($A49,'[1]liste reference'!B$1:S$1048576,19,FALSE())),"",VLOOKUP($A49,'[1]liste reference'!B$1:S$1048576,19,FALSE())),VLOOKUP($A49,'[1]liste reference'!A$1:S$1048576,19,FALSE())))))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IF(A49="new.cod","NEWCOD",IF(AND((Z49=""),ISTEXT(A49)),A49,IF(Z49="","",INDEX('[1]liste reference'!$A$8:$A$904,Z49))))</f>
        <v/>
      </c>
      <c r="Z49" s="280" t="str">
        <f aca="false">IF(ISERROR(MATCH(A49,'[1]liste reference'!$A$8:$A$904,0)),IF(ISERROR(MATCH(A49,'[1]liste reference'!$B$8:$B$904,0)),"",(MATCH(A49,'[1]liste reference'!$B$8:$B$904,0))),(MATCH(A49,'[1]liste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IF(ISERROR(VLOOKUP($A50,'[1]liste reference'!$A$7:$D$904,2,0)),IF(ISERROR(VLOOKUP($A50,'[1]liste reference'!$B$7:$D$904,1,0)),"",VLOOKUP($A50,'[1]liste reference'!$B$7:$D$904,1,0)),VLOOKUP($A50,'[1]liste reference'!$A$7:$D$904,2,0))</f>
        <v/>
      </c>
      <c r="E50" s="496" t="n">
        <f aca="false">IF(D50="",0,VLOOKUP(D50,D$22:D49,1,0))</f>
        <v>0</v>
      </c>
      <c r="F50" s="501" t="n">
        <f aca="false">($B50*$B$7+$C50*$C$7)/100</f>
        <v>0</v>
      </c>
      <c r="G50" s="479" t="str">
        <f aca="false">IF(A50="","",IF(ISERROR(VLOOKUP($A50,'[1]liste reference'!$A$7:$P$904,13,0)),IF(ISERROR(VLOOKUP($A50,'[1]liste reference'!$B$7:$P$904,12,0)),"    -",VLOOKUP($A50,'[1]liste reference'!$B$7:$P$904,12,0)),VLOOKUP($A50,'[1]liste reference'!$A$7:$P$904,13,0)))</f>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IF(A50="new.cod","NEWCOD",IF(AND((Z50=""),ISTEXT(A50)),A50,IF(Z50="","",INDEX('[1]liste reference'!$A$8:$A$904,Z50))))</f>
        <v/>
      </c>
      <c r="Z50" s="280" t="str">
        <f aca="false">IF(ISERROR(MATCH(A50,'[1]liste reference'!$A$8:$A$904,0)),IF(ISERROR(MATCH(A50,'[1]liste reference'!$B$8:$B$904,0)),"",(MATCH(A50,'[1]liste reference'!$B$8:$B$904,0))),(MATCH(A50,'[1]liste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IF(ISERROR(VLOOKUP($A51,'[1]liste reference'!$A$7:$D$904,2,0)),IF(ISERROR(VLOOKUP($A51,'[1]liste reference'!$B$7:$D$904,1,0)),"",VLOOKUP($A51,'[1]liste reference'!$B$7:$D$904,1,0)),VLOOKUP($A51,'[1]liste reference'!$A$7:$D$904,2,0))</f>
        <v/>
      </c>
      <c r="E51" s="496" t="n">
        <f aca="false">IF(D51="",0,VLOOKUP(D51,D$22:D50,1,0))</f>
        <v>0</v>
      </c>
      <c r="F51" s="501" t="n">
        <f aca="false">($B51*$B$7+$C51*$C$7)/100</f>
        <v>0</v>
      </c>
      <c r="G51" s="479" t="str">
        <f aca="false">IF(A51="","",IF(ISERROR(VLOOKUP($A51,'[1]liste reference'!$A$7:$P$904,13,0)),IF(ISERROR(VLOOKUP($A51,'[1]liste reference'!$B$7:$P$904,12,0)),"    -",VLOOKUP($A51,'[1]liste reference'!$B$7:$P$904,12,0)),VLOOKUP($A51,'[1]liste reference'!$A$7:$P$904,13,0)))</f>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IF(A51="new.cod","NEWCOD",IF(AND((Z51=""),ISTEXT(A51)),A51,IF(Z51="","",INDEX('[1]liste reference'!$A$8:$A$904,Z51))))</f>
        <v/>
      </c>
      <c r="Z51" s="280" t="str">
        <f aca="false">IF(ISERROR(MATCH(A51,'[1]liste reference'!$A$8:$A$904,0)),IF(ISERROR(MATCH(A51,'[1]liste reference'!$B$8:$B$904,0)),"",(MATCH(A51,'[1]liste reference'!$B$8:$B$904,0))),(MATCH(A51,'[1]liste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1"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1"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1"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1"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1"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1"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1"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1"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1"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1"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1"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1"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1"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1"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1"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1"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1"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1"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1"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1"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1"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1"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1"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1"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1"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1"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1"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1"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1"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1"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Pallas</v>
      </c>
      <c r="B84" s="529" t="str">
        <f aca="false">C3</f>
        <v>Loupian</v>
      </c>
      <c r="C84" s="530" t="n">
        <f aca="false">A4</f>
        <v>41397</v>
      </c>
      <c r="D84" s="531" t="n">
        <f aca="false">IF(ISERROR(SUM($T$23:$T$82)/SUM($U$23:$U$82)),"",SUM($T$23:$T$82)/SUM($U$23:$U$82))</f>
        <v>8.59259259259259</v>
      </c>
      <c r="E84" s="532" t="n">
        <f aca="false">N13</f>
        <v>14</v>
      </c>
      <c r="F84" s="529" t="n">
        <f aca="false">N14</f>
        <v>9</v>
      </c>
      <c r="G84" s="529" t="n">
        <f aca="false">N15</f>
        <v>5</v>
      </c>
      <c r="H84" s="529" t="n">
        <f aca="false">N16</f>
        <v>4</v>
      </c>
      <c r="I84" s="529" t="n">
        <f aca="false">N17</f>
        <v>0</v>
      </c>
      <c r="J84" s="533" t="n">
        <f aca="false">N8</f>
        <v>8.11111111111111</v>
      </c>
      <c r="K84" s="531" t="n">
        <f aca="false">N9</f>
        <v>2.72618758808562</v>
      </c>
      <c r="L84" s="532" t="n">
        <f aca="false">N10</f>
        <v>4</v>
      </c>
      <c r="M84" s="532" t="n">
        <f aca="false">N11</f>
        <v>11</v>
      </c>
      <c r="N84" s="531" t="n">
        <f aca="false">O8</f>
        <v>1.44444444444444</v>
      </c>
      <c r="O84" s="531" t="n">
        <f aca="false">O9</f>
        <v>0.496903994999953</v>
      </c>
      <c r="P84" s="532" t="n">
        <f aca="false">O10</f>
        <v>1</v>
      </c>
      <c r="Q84" s="532" t="n">
        <f aca="false">O11</f>
        <v>2</v>
      </c>
      <c r="R84" s="532" t="n">
        <f aca="false">F21</f>
        <v>79.3315</v>
      </c>
      <c r="S84" s="532" t="n">
        <f aca="false">K11</f>
        <v>0</v>
      </c>
      <c r="T84" s="532" t="n">
        <f aca="false">K12</f>
        <v>2</v>
      </c>
      <c r="U84" s="532" t="n">
        <f aca="false">K13</f>
        <v>2</v>
      </c>
      <c r="V84" s="534" t="n">
        <f aca="false">K14</f>
        <v>0</v>
      </c>
      <c r="W84" s="535" t="n">
        <f aca="false">K15</f>
        <v>10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40</v>
      </c>
      <c r="T87" s="280"/>
      <c r="U87" s="280"/>
      <c r="V87" s="280"/>
    </row>
    <row r="88" customFormat="false" ht="12.75" hidden="true" customHeight="false" outlineLevel="0" collapsed="false">
      <c r="P88" s="280"/>
      <c r="Q88" s="280" t="s">
        <v>2689</v>
      </c>
      <c r="R88" s="280"/>
      <c r="S88" s="488" t="n">
        <f aca="false">VLOOKUP((S87),($S$23:$U$82),2,0)</f>
        <v>40</v>
      </c>
      <c r="T88" s="280"/>
      <c r="U88" s="280"/>
      <c r="V88" s="280"/>
    </row>
    <row r="89" customFormat="false" ht="12.75" hidden="true" customHeight="false" outlineLevel="0" collapsed="false">
      <c r="Q89" s="280" t="s">
        <v>2690</v>
      </c>
      <c r="R89" s="280"/>
      <c r="S89" s="488" t="n">
        <f aca="false">VLOOKUP((S87),($S$23:$U$82),3,0)</f>
        <v>4</v>
      </c>
      <c r="T89" s="280"/>
    </row>
    <row r="90" customFormat="false" ht="12.75" hidden="false" customHeight="false" outlineLevel="0" collapsed="false">
      <c r="Q90" s="280" t="s">
        <v>2691</v>
      </c>
      <c r="R90" s="280"/>
      <c r="S90" s="538" t="n">
        <f aca="false">IF(ISERROR(SUM($T$23:$T$82)/SUM($U$23:$U$82)),"",(SUM($T$23:$T$82)-S88)/(SUM($U$23:$U$82)-S89))</f>
        <v>8.34782608695652</v>
      </c>
      <c r="T90" s="280"/>
    </row>
    <row r="91" customFormat="false" ht="12.75" hidden="false" customHeight="false" outlineLevel="0" collapsed="false">
      <c r="Q91" s="487" t="s">
        <v>2692</v>
      </c>
      <c r="R91" s="487"/>
      <c r="S91" s="487" t="str">
        <f aca="false">INDEX('[1]liste reference'!$A$8:$A$904,$T$91)</f>
        <v>IRIPSE</v>
      </c>
      <c r="T91" s="280" t="n">
        <f aca="false">IF(ISERROR(MATCH($S$93,'[1]liste reference'!$A$8:$A$904,0)),MATCH($S$93,'[1]liste reference'!$B$8:$B$904,0),(MATCH($S$93,'[1]liste reference'!$A$8:$A$904,0)))</f>
        <v>582</v>
      </c>
      <c r="U91" s="527"/>
    </row>
    <row r="92" customFormat="false" ht="12.75" hidden="false" customHeight="false" outlineLevel="0" collapsed="false">
      <c r="Q92" s="280" t="s">
        <v>2693</v>
      </c>
      <c r="R92" s="280"/>
      <c r="S92" s="280" t="n">
        <f aca="false">MATCH(S87,$S$23:$S$82,0)</f>
        <v>8</v>
      </c>
      <c r="T92" s="280"/>
    </row>
    <row r="93" customFormat="false" ht="12.75" hidden="false" customHeight="false" outlineLevel="0" collapsed="false">
      <c r="Q93" s="487" t="s">
        <v>2694</v>
      </c>
      <c r="R93" s="280"/>
      <c r="S93" s="487" t="str">
        <f aca="false">INDEX($A$23:$A$82,$S$92)</f>
        <v>IRIPSE</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2709</v>
      </c>
      <c r="G18" s="577"/>
      <c r="H18" s="576" t="s">
        <v>2709</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2713</v>
      </c>
      <c r="G22" s="577"/>
      <c r="H22" s="576" t="s">
        <v>2713</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GASNIER Laurent</cp:lastModifiedBy>
  <cp:lastPrinted>2013-01-10T22:36:43Z</cp:lastPrinted>
  <dcterms:modified xsi:type="dcterms:W3CDTF">2014-07-11T15:11:52Z</dcterms:modified>
  <cp:revision>0</cp:revision>
  <dc:subject/>
  <dc:title>Feuille d'aide au calcul de l'IBMR</dc:title>
</cp:coreProperties>
</file>