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00700" sheetId="6" state="visible" r:id="rId8"/>
    <sheet name="jgjg" sheetId="7" state="hidden" r:id="rId9"/>
    <sheet name="liste codes réf" sheetId="8" state="hidden" r:id="rId10"/>
  </sheets>
  <definedNames>
    <definedName function="false" hidden="false" localSheetId="5" name="_xlnm.Print_Area" vbProcedure="false">'06200700'!$A$1:$Q$82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'06200700'!$A$1:$Q$82</definedName>
    <definedName function="false" hidden="false" localSheetId="5" name="_xlnm__FilterDatabase" vbProcedure="false">'06200700'!$A$1:$C$1415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<sst xmlns="http://schemas.openxmlformats.org/spreadsheetml/2006/main" count="8850" uniqueCount="3497">
  <si>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</si>
  <si>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</si>
  <si>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</si>
  <si>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</si>
  <si>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</si>
  <si>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</si>
  <si>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</si>
  <si>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</si>
  <si>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</si>
  <si>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</si>
  <si>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</si>
  <si>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</si>
  <si>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</si>
  <si>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</si>
  <si>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</si>
  <si>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</si>
  <si>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</si>
  <si>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</si>
  <si>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</si>
  <si>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</si>
  <si>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</si>
  <si>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</si>
  <si>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</si>
  <si>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</si>
  <si>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</si>
  <si>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</si>
  <si>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</si>
  <si>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</si>
  <si>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</si>
  <si>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</si>
  <si>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</si>
  <si>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</si>
  <si>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</si>
  <si>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</si>
  <si>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</si>
  <si>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</si>
  <si>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</si>
  <si>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</si>
  <si>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</si>
  <si>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</si>
  <si>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</si>
  <si>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</si>
  <si>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</si>
  <si>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</si>
  <si>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</si>
  <si>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</si>
  <si>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</si>
  <si>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</si>
  <si>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</si>
  <si>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</si>
  <si>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</si>
  <si>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</si>
  <si>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</si>
  <si>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</si>
  <si>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</si>
  <si>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</si>
  <si>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</si>
  <si>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</si>
  <si>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</si>
  <si>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</si>
  <si>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</si>
  <si>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</si>
  <si>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</si>
  <si>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</si>
  <si>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</si>
  <si>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</si>
  <si>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</si>
  <si>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</si>
  <si>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</si>
  <si>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</si>
  <si>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</si>
  <si>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</si>
  <si>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</si>
  <si>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</si>
  <si>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</si>
  <si>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</si>
  <si>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</si>
  <si>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</si>
  <si>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</si>
  <si>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</si>
  <si>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</si>
  <si>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</si>
  <si>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</si>
  <si>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</si>
  <si>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</si>
  <si>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</si>
  <si>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</si>
  <si>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</si>
  <si>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</si>
  <si>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</si>
  <si>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</si>
  <si>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</si>
  <si>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</si>
  <si>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</si>
  <si>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</si>
  <si>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</si>
  <si>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</si>
  <si>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</si>
  <si>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</si>
  <si>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</si>
  <si>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</si>
  <si>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</si>
  <si>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</si>
  <si>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</si>
  <si>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</si>
  <si>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</si>
  <si>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</si>
  <si>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</si>
  <si>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</si>
  <si>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</si>
  <si>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</si>
  <si>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</si>
  <si>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</si>
  <si>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</si>
  <si>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</si>
  <si>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</si>
  <si>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</si>
  <si>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</si>
  <si>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</si>
  <si>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</si>
  <si>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</si>
  <si>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</si>
  <si>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</si>
  <si>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</si>
  <si>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</si>
  <si>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</si>
  <si>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</si>
  <si>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</si>
  <si>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</si>
  <si>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</si>
  <si>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</si>
  <si>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</si>
  <si>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</si>
  <si>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</si>
  <si>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</si>
  <si>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</si>
  <si>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</si>
  <si>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</si>
  <si>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</si>
  <si>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</si>
  <si>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</si>
  <si>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</si>
  <si>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</si>
  <si>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</si>
  <si>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</si>
  <si>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</si>
  <si>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</si>
  <si>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</si>
  <si>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</si>
  <si>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</si>
  <si>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</si>
  <si>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</si>
  <si>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</si>
  <si>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</si>
  <si>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</si>
  <si>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</si>
  <si>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</si>
  <si>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</si>
  <si>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</si>
  <si>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</si>
  <si>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</si>
  <si>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</si>
  <si>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</si>
  <si>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</si>
  <si>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</si>
  <si>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</si>
  <si>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</si>
  <si>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</si>
  <si>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</si>
  <si>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</si>
  <si>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</si>
  <si>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</si>
  <si>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</si>
  <si>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</si>
  <si>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</si>
  <si>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</si>
  <si>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</si>
  <si>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</si>
  <si>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</si>
  <si>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</si>
  <si>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</si>
  <si>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</si>
  <si>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</si>
  <si>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</si>
  <si>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</si>
  <si>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</si>
  <si>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</si>
  <si>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</si>
  <si>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</si>
  <si>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</si>
  <si>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</si>
  <si>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</si>
  <si>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</si>
  <si>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</si>
  <si>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</si>
  <si>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</si>
  <si>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</si>
  <si>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</si>
  <si>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</si>
  <si>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</si>
  <si>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</si>
  <si>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</si>
  <si>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</si>
  <si>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</si>
  <si>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</si>
  <si>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</si>
  <si>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</si>
  <si>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</si>
  <si>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</si>
  <si>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</si>
  <si>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</si>
  <si>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</si>
  <si>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</si>
  <si>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</si>
  <si>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</si>
  <si>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</si>
  <si>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</si>
  <si>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</si>
  <si>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</si>
  <si>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</si>
  <si>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</si>
  <si>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</si>
  <si>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</si>
  <si>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</si>
  <si>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</si>
  <si>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</si>
  <si>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</si>
  <si>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</si>
  <si>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</si>
  <si>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</si>
  <si>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</si>
  <si>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</si>
  <si>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</si>
  <si>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</si>
  <si>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</si>
  <si>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</si>
  <si>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</si>
  <si>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</si>
  <si>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</si>
  <si>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</si>
  <si>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</si>
  <si>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</si>
  <si>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</si>
  <si>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</si>
  <si>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</si>
  <si>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</si>
  <si>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</si>
  <si>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</si>
  <si>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</si>
  <si>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</si>
  <si>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</si>
  <si>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</si>
  <si>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</si>
  <si>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</si>
  <si>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</si>
  <si>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</si>
  <si>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</si>
  <si>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</si>
  <si>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</si>
  <si>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</si>
  <si>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</si>
  <si>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</si>
  <si>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</si>
  <si>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</si>
  <si>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</si>
  <si>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</si>
  <si>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</si>
  <si>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</si>
  <si>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</si>
  <si>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</si>
  <si>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</si>
  <si>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</si>
  <si>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</si>
  <si>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</si>
  <si>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</si>
  <si>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</si>
  <si>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</si>
  <si>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</si>
  <si>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</si>
  <si>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</si>
  <si>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</si>
  <si>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</si>
  <si>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</si>
  <si>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</si>
  <si>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</si>
  <si>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</si>
  <si>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</si>
  <si>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</si>
  <si>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</si>
  <si>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</si>
  <si>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</si>
  <si>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</si>
  <si>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</si>
  <si>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</si>
  <si>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</si>
  <si>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</si>
  <si>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</si>
  <si>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</si>
  <si>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</si>
  <si>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</si>
  <si>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</si>
  <si>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</si>
  <si>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</si>
  <si>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</si>
  <si>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</si>
  <si>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</si>
  <si>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</si>
  <si>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</si>
  <si>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</si>
  <si>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</si>
  <si>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</si>
  <si>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</si>
  <si>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</si>
  <si>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</si>
  <si>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</si>
  <si>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</si>
  <si>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</si>
  <si>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</si>
  <si>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</si>
  <si>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</si>
  <si>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</si>
  <si>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</si>
  <si>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</si>
  <si>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</si>
  <si>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</si>
  <si>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</si>
  <si>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</si>
  <si>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</si>
  <si>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</si>
  <si>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</si>
  <si>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</si>
  <si>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</si>
  <si>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</si>
  <si>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</si>
  <si>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</si>
  <si>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</si>
  <si>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</si>
  <si>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</si>
  <si>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</si>
  <si>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</si>
  <si>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</si>
  <si>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</si>
  <si>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</si>
  <si>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</si>
  <si>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</si>
  <si>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</si>
  <si>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</si>
  <si>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</si>
  <si>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</si>
  <si>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</si>
  <si>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</si>
  <si>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</si>
  <si>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</si>
  <si>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</si>
  <si>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</si>
  <si>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</si>
  <si>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</si>
  <si>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</si>
  <si>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</si>
  <si>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</si>
  <si>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</si>
  <si>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</si>
  <si>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</si>
  <si>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</si>
  <si>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</si>
  <si>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</si>
  <si>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</si>
  <si>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</si>
  <si>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</si>
  <si>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</si>
  <si>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</si>
  <si>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</si>
  <si>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</si>
  <si>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</si>
  <si>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</si>
  <si>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</si>
  <si>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</si>
  <si>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</si>
  <si>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</si>
  <si>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</si>
  <si>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</si>
  <si>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</si>
  <si>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</si>
  <si>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</si>
  <si>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</si>
  <si>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</si>
  <si>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</si>
  <si>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</si>
  <si>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</si>
  <si>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</si>
  <si>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</si>
  <si>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</si>
  <si>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</si>
  <si>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</si>
  <si>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</si>
  <si>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</si>
  <si>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</si>
  <si>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</si>
  <si>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</si>
  <si>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</si>
  <si>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</si>
  <si>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</si>
  <si>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</si>
  <si>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</si>
  <si>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</si>
  <si>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</si>
  <si>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</si>
  <si>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</si>
  <si>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</si>
  <si>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</si>
  <si>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</si>
  <si>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</si>
  <si>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</si>
  <si>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</si>
  <si>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</si>
  <si>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</si>
  <si>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</si>
  <si>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</si>
  <si>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</si>
  <si>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</si>
  <si>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</si>
  <si>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</si>
  <si>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</si>
  <si>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</si>
  <si>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</si>
  <si>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</si>
  <si>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</si>
  <si>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</si>
  <si>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</si>
  <si>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</si>
  <si>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</si>
  <si>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</si>
  <si>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</si>
  <si>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</si>
  <si>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</si>
  <si>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</si>
  <si>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</si>
  <si>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</si>
  <si>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</si>
  <si>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</si>
  <si>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</si>
  <si>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</si>
  <si>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</si>
  <si>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</si>
  <si>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</si>
  <si>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</si>
  <si>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</si>
  <si>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</si>
  <si>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</si>
  <si>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</si>
  <si>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</si>
  <si>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</si>
  <si>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</si>
  <si>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</si>
  <si>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</si>
  <si>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</si>
  <si>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</si>
  <si>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</si>
  <si>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</si>
  <si>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</si>
  <si>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</si>
  <si>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</si>
  <si>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</si>
  <si>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</si>
  <si>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</si>
  <si>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</si>
  <si>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</si>
  <si>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</si>
  <si>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</si>
  <si>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</si>
  <si>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</si>
  <si>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</si>
  <si>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</si>
  <si>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</si>
  <si>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</si>
  <si>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</si>
  <si>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</si>
  <si>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</si>
  <si>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</si>
  <si>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</si>
  <si>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</si>
  <si>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</si>
  <si>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</si>
  <si>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</si>
  <si>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</si>
  <si>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</si>
  <si>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</si>
  <si>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</si>
  <si>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</si>
  <si>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</si>
  <si>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</si>
  <si>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</si>
  <si>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</si>
  <si>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</si>
  <si>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</si>
  <si>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</si>
  <si>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</si>
  <si>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</si>
  <si>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</si>
  <si>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</si>
  <si>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</si>
  <si>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</si>
  <si>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</si>
  <si>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</si>
  <si>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</si>
  <si>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</si>
  <si>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</si>
  <si>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</si>
  <si>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</si>
  <si>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</si>
  <si>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</si>
  <si>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</si>
  <si>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</si>
  <si>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</si>
  <si>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</si>
  <si>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</si>
  <si>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</si>
  <si>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</si>
  <si>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</si>
  <si>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</si>
  <si>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</si>
  <si>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</si>
  <si>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</si>
  <si>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</si>
  <si>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</si>
  <si>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</si>
  <si>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</si>
  <si>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</si>
  <si>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</si>
  <si>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</si>
  <si>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</si>
  <si>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</si>
  <si>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</si>
  <si>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</si>
  <si>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</si>
  <si>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</si>
  <si>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</si>
  <si>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</si>
  <si>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</si>
  <si>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</si>
  <si>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</si>
  <si>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</si>
  <si>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</si>
  <si>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</si>
  <si>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</si>
  <si>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</si>
  <si>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</si>
  <si>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</si>
  <si>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</si>
  <si>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</si>
  <si>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</si>
  <si>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</si>
  <si>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</si>
  <si>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</si>
  <si>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</si>
  <si>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</si>
  <si>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</si>
  <si>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</si>
  <si>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</si>
  <si>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</si>
  <si>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</si>
  <si>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</si>
  <si>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</si>
  <si>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</si>
  <si>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</si>
  <si>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</si>
  <si>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</si>
  <si>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</si>
  <si>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</si>
  <si>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</si>
  <si>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</si>
  <si>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</si>
  <si>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</si>
  <si>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</si>
  <si>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</si>
  <si>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</si>
  <si>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</si>
  <si>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</si>
  <si>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</si>
  <si>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</si>
  <si>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</si>
  <si>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</si>
  <si>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</si>
  <si>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</si>
  <si>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</si>
  <si>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</si>
  <si>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</si>
  <si>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</si>
  <si>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</si>
  <si>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</si>
  <si>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</si>
  <si>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</si>
  <si>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</si>
  <si>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</si>
  <si>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</si>
  <si>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</si>
  <si>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</si>
  <si>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</si>
  <si>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</si>
  <si>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</si>
  <si>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</si>
  <si>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</si>
  <si>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</si>
  <si>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</si>
  <si>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</si>
  <si>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</si>
  <si>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</si>
  <si>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</si>
  <si>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</si>
  <si>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</si>
  <si>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</si>
  <si>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</si>
  <si>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</si>
  <si>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</si>
  <si>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</si>
  <si>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</si>
  <si>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</si>
  <si>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</si>
  <si>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</si>
  <si>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</si>
  <si>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</si>
  <si>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</si>
  <si>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</si>
  <si>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</si>
  <si>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</si>
  <si>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</si>
  <si>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</si>
  <si>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</si>
  <si>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</si>
  <si>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</si>
  <si>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</si>
  <si>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</si>
  <si>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</si>
  <si>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</si>
  <si>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</si>
  <si>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</si>
  <si>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</si>
  <si>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</si>
  <si>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</si>
  <si>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</si>
  <si>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</si>
  <si>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</si>
  <si>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</si>
  <si>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</si>
  <si>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</si>
  <si>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</si>
  <si>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</si>
  <si>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</si>
  <si>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</si>
  <si>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</si>
  <si>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</si>
  <si>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</si>
  <si>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</si>
  <si>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</si>
  <si>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</si>
  <si>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</si>
  <si>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</si>
  <si>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</si>
  <si>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</si>
  <si>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</si>
  <si>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</si>
  <si>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</si>
  <si>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</si>
  <si>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</si>
  <si>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</si>
  <si>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</si>
  <si>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</si>
  <si>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</si>
  <si>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</si>
  <si>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</si>
  <si>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</si>
  <si>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</si>
  <si>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</si>
  <si>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</si>
  <si>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</si>
  <si>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</si>
  <si>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</si>
  <si>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</si>
  <si>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</si>
  <si>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</si>
  <si>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</si>
  <si>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</si>
  <si>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</si>
  <si>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</si>
  <si>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</si>
  <si>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</si>
  <si>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</si>
  <si>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</si>
  <si>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</si>
  <si>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</si>
  <si>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</si>
  <si>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</si>
  <si>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</si>
  <si>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</si>
  <si>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</si>
  <si>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</si>
  <si>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</si>
  <si>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</si>
  <si>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</si>
  <si>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</si>
  <si>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</si>
  <si>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</si>
  <si>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</si>
  <si>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</si>
  <si>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</si>
  <si>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</si>
  <si>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</si>
  <si>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</si>
  <si>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</si>
  <si>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</si>
  <si>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</si>
  <si>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</si>
  <si>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</si>
  <si>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</si>
  <si>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</si>
  <si>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</si>
  <si>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</si>
  <si>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</si>
  <si>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</si>
  <si>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</si>
  <si>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</si>
  <si>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</si>
  <si>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</si>
  <si>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</si>
  <si>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</si>
  <si>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</si>
  <si>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</si>
  <si>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</si>
  <si>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</si>
  <si>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</si>
  <si>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</si>
  <si>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</si>
  <si>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</si>
  <si>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</si>
  <si>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</si>
  <si>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</si>
  <si>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</si>
  <si>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</si>
  <si>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</si>
  <si>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</si>
  <si>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</si>
  <si>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</si>
  <si>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</si>
  <si>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</si>
  <si>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</si>
  <si>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</si>
  <si>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</si>
  <si>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</si>
  <si>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</si>
  <si>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</si>
  <si>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</si>
  <si>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</si>
  <si>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</si>
  <si>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</si>
  <si>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</si>
  <si>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</si>
  <si>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</si>
  <si>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</si>
  <si>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</si>
  <si>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</si>
  <si>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</si>
  <si>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</si>
  <si>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</si>
  <si>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</si>
  <si>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</si>
  <si>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</si>
  <si>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</si>
  <si>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</si>
  <si>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</si>
  <si>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</si>
  <si>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</si>
  <si>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</si>
  <si>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</si>
  <si>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</si>
  <si>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</si>
  <si>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</si>
  <si>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</si>
  <si>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</si>
  <si>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</si>
  <si>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</si>
  <si>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</si>
  <si>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</si>
  <si>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</si>
  <si>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</si>
  <si>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</si>
  <si>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</si>
  <si>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</si>
  <si>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</si>
  <si>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</si>
  <si>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</si>
  <si>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</si>
  <si>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</si>
  <si>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</si>
  <si>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</si>
  <si>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</si>
  <si>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</si>
  <si>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</si>
  <si>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</si>
  <si>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</si>
  <si>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</si>
  <si>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</si>
  <si>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</si>
  <si>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</si>
  <si>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</si>
  <si>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</si>
  <si>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</si>
  <si>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</si>
  <si>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</si>
  <si>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</si>
  <si>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</si>
  <si>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</si>
  <si>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</si>
  <si>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</si>
  <si>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</si>
  <si>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</si>
  <si>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</si>
  <si>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</si>
  <si>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</si>
  <si>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</si>
  <si>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</si>
  <si>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</si>
  <si>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</si>
  <si>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</si>
  <si>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</si>
  <si>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</si>
  <si>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</si>
  <si>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</si>
  <si>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</si>
  <si>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</si>
  <si>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</si>
  <si>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</si>
  <si>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</si>
  <si>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</si>
  <si>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</si>
  <si>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</si>
  <si>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</si>
  <si>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</si>
  <si>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</si>
  <si>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</si>
  <si>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</si>
  <si>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</si>
  <si>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</si>
  <si>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</si>
  <si>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</si>
  <si>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</si>
  <si>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</si>
  <si>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</si>
  <si>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</si>
  <si>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</si>
  <si>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</si>
  <si>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</si>
  <si>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</si>
  <si>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</si>
  <si>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</si>
  <si>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</si>
  <si>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</si>
  <si>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</si>
  <si>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</si>
  <si>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</si>
  <si>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</si>
  <si>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</si>
  <si>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</si>
  <si>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</si>
  <si>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</si>
  <si>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</si>
  <si>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</si>
  <si>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</si>
  <si>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</si>
  <si>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</si>
  <si>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</si>
  <si>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</si>
  <si>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</si>
  <si>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</si>
  <si>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</si>
  <si>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</si>
  <si>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</si>
  <si>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</si>
  <si>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</si>
  <si>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</si>
  <si>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</si>
  <si>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</si>
  <si>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</si>
  <si>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</si>
  <si>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</si>
  <si>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</si>
  <si>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</si>
  <si>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</si>
  <si>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</si>
  <si>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</si>
  <si>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</si>
  <si>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</si>
  <si>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</si>
  <si>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</si>
  <si>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</si>
  <si>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</si>
  <si>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</si>
  <si>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</si>
  <si>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</si>
  <si>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</si>
  <si>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</si>
  <si>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</si>
  <si>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</si>
  <si>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</si>
  <si>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</si>
  <si>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</si>
  <si>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</si>
  <si>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</si>
  <si>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</si>
  <si>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</si>
  <si>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</si>
  <si>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</si>
  <si>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</si>
  <si>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</si>
  <si>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</si>
  <si>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</si>
  <si>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</si>
  <si>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</si>
  <si>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</si>
  <si>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</si>
  <si>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</si>
  <si>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</si>
  <si>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</si>
  <si>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</si>
  <si>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</si>
  <si>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</si>
  <si>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</si>
  <si>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</si>
  <si>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</si>
  <si>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</si>
  <si>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</si>
  <si>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</si>
  <si>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</si>
  <si>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</si>
  <si>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</si>
  <si>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</si>
  <si>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</si>
  <si>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</si>
  <si>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</si>
  <si>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</si>
  <si>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</si>
  <si>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</si>
  <si>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</si>
  <si>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</si>
  <si>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</si>
  <si>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</si>
  <si>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</si>
  <si>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</si>
  <si>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</si>
  <si>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</si>
  <si>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</si>
  <si>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</si>
  <si>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</si>
  <si>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</si>
  <si>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</si>
  <si>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</si>
  <si>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</si>
  <si>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</si>
  <si>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</si>
  <si>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</si>
  <si>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</si>
  <si>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</si>
  <si>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</si>
  <si>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</si>
  <si>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</si>
  <si>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</si>
  <si>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</si>
  <si>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</si>
  <si>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</si>
  <si>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</si>
  <si>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</si>
  <si>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</si>
  <si>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</si>
  <si>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</si>
  <si>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</si>
  <si>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</si>
  <si>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</si>
  <si>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</si>
  <si>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</si>
  <si>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</si>
  <si>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</si>
  <si>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</si>
  <si>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</si>
  <si>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</si>
  <si>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</si>
  <si>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</si>
  <si>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</si>
  <si>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</si>
  <si>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</si>
  <si>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</si>
  <si>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</si>
  <si>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</si>
  <si>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</si>
  <si>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</si>
  <si>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</si>
  <si>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</si>
  <si>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</si>
  <si>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</si>
  <si>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</si>
  <si>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</si>
  <si>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</si>
  <si>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</si>
  <si>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</si>
  <si>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</si>
  <si>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</si>
  <si>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</si>
  <si>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</si>
  <si>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</si>
  <si>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</si>
  <si>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</si>
  <si>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</si>
  <si>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</si>
  <si>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</si>
  <si>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</si>
  <si>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</si>
  <si>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</si>
  <si>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</si>
  <si>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</si>
  <si>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</si>
  <si>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</si>
  <si>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</si>
  <si>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</si>
  <si>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</si>
  <si>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</si>
  <si>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</si>
  <si>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</si>
  <si>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</si>
  <si>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</si>
  <si>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</si>
  <si>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</si>
  <si>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</si>
  <si>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</si>
  <si>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</si>
  <si>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</si>
  <si>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</si>
  <si>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</si>
  <si>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</si>
  <si>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</si>
  <si>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</si>
  <si>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</si>
  <si>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</si>
  <si>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</si>
  <si>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</si>
  <si>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</si>
  <si>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</si>
  <si>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</si>
  <si>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</si>
  <si>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</si>
  <si>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</si>
  <si>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</si>
  <si>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</si>
  <si>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</si>
  <si>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</si>
  <si>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</si>
  <si>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</si>
  <si>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</si>
  <si>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</si>
  <si>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</si>
  <si>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</si>
  <si>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</si>
  <si>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</si>
  <si>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</si>
  <si>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</si>
  <si>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</si>
  <si>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</si>
  <si>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</si>
  <si>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</si>
  <si>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</si>
  <si>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</si>
  <si>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</si>
  <si>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</si>
  <si>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</si>
  <si>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</si>
  <si>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</si>
  <si>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</si>
  <si>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</si>
  <si>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</si>
  <si>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</si>
  <si>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</si>
  <si>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</si>
  <si>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</si>
  <si>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</si>
  <si>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</si>
  <si>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</si>
  <si>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</si>
  <si>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</si>
  <si>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</si>
  <si>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</si>
  <si>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</si>
  <si>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</si>
  <si>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</si>
  <si>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</si>
  <si>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</si>
  <si>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</si>
  <si>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</si>
  <si>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</si>
  <si>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</si>
  <si>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</si>
  <si>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</si>
  <si>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</si>
  <si>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</si>
  <si>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</si>
  <si>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</si>
  <si>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</si>
  <si>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</si>
  <si>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</si>
  <si>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</si>
  <si>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</si>
  <si>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</si>
  <si>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</si>
  <si>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</si>
  <si>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</si>
  <si>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</si>
  <si>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</si>
  <si>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</si>
  <si>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</si>
  <si>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</si>
  <si>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</si>
  <si>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</si>
  <si>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</si>
  <si>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</si>
  <si>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</si>
  <si>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</si>
  <si>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</si>
  <si>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</si>
  <si>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</si>
  <si>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</si>
  <si>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</si>
  <si>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</si>
  <si>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</si>
  <si>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</si>
  <si>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</si>
  <si>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</si>
  <si>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</si>
  <si>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</si>
  <si>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</si>
  <si>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</si>
  <si>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</si>
  <si>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</si>
  <si>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</si>
  <si>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</si>
  <si>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</si>
  <si>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</si>
  <si>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</si>
  <si>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</si>
  <si>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</si>
  <si>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</si>
  <si>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</si>
  <si>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</si>
  <si>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</si>
  <si>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</si>
  <si>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</si>
  <si>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</si>
  <si>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</si>
  <si>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</si>
  <si>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</si>
  <si>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</si>
  <si>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</si>
  <si>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</si>
  <si>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</si>
  <si>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</si>
  <si>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</si>
  <si>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</si>
  <si>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</si>
  <si>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</si>
  <si>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</si>
  <si>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</si>
  <si>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</si>
  <si>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</si>
  <si>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</si>
  <si>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</si>
  <si>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</si>
  <si>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</si>
  <si>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</si>
  <si>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</si>
  <si>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</si>
  <si>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</si>
  <si>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</si>
  <si>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</si>
  <si>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</si>
  <si>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</si>
  <si>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</si>
  <si>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</si>
  <si>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</si>
  <si>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</si>
  <si>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</si>
  <si>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</si>
  <si>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</si>
  <si>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</si>
  <si>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</si>
  <si>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</si>
  <si>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</si>
  <si>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</si>
  <si>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</si>
  <si>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</si>
  <si>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</si>
  <si>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</si>
  <si>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</si>
  <si>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</si>
  <si>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</si>
  <si>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</si>
  <si>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</si>
  <si>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</si>
  <si>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</si>
  <si>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</si>
  <si>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</si>
  <si>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</si>
  <si>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</si>
  <si>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</si>
  <si>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</si>
  <si>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</si>
  <si>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</si>
  <si>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</si>
  <si>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</si>
  <si>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</si>
  <si>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</si>
  <si>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</si>
  <si>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</si>
  <si>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</si>
  <si>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</si>
  <si>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</si>
  <si>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</si>
  <si>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</si>
  <si>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</si>
  <si>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</si>
  <si>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</si>
  <si>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</si>
  <si>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</si>
  <si>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</si>
  <si>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</si>
  <si>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</si>
  <si>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</si>
  <si>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</si>
  <si>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</si>
  <si>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</si>
  <si>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</si>
  <si>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</si>
  <si>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</si>
  <si>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</si>
  <si>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</si>
  <si>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</si>
  <si>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</si>
  <si>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</si>
  <si>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</si>
  <si>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</si>
  <si>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</si>
  <si>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</si>
  <si>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</si>
  <si>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</si>
  <si>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</si>
  <si>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</si>
  <si>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</si>
  <si>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</si>
  <si>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</si>
  <si>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</si>
  <si>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</si>
  <si>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</si>
  <si>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</si>
  <si>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</si>
  <si>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</si>
  <si>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</si>
  <si>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</si>
  <si>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</si>
  <si>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</si>
  <si>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</si>
  <si>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</si>
  <si>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</si>
  <si>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</si>
  <si>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</si>
  <si>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</si>
  <si>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</si>
  <si>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</si>
  <si>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</si>
  <si>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</si>
  <si>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</si>
  <si>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</si>
  <si>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</si>
  <si>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</si>
  <si>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</si>
  <si>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</si>
  <si>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</si>
  <si>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</si>
  <si>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</si>
  <si>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</si>
  <si>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</si>
  <si>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</si>
  <si>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</si>
  <si>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</si>
  <si>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</si>
  <si>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</si>
  <si>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</si>
  <si>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</si>
  <si>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</si>
  <si>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</si>
  <si>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</si>
  <si>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</si>
  <si>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</si>
  <si>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</si>
  <si>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</si>
  <si>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</si>
  <si>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</si>
  <si>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</si>
  <si>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</si>
  <si>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</si>
  <si>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</si>
  <si>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</si>
  <si>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</si>
  <si>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</si>
  <si>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</si>
  <si>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</si>
  <si>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</si>
  <si>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</si>
  <si>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</si>
  <si>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</si>
  <si>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</si>
  <si>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</si>
  <si>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</si>
  <si>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</si>
  <si>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</si>
  <si>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</si>
  <si>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</si>
  <si>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</si>
  <si>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</si>
  <si>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</si>
  <si>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</si>
  <si>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</si>
  <si>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</si>
  <si>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</si>
  <si>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</si>
  <si>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</si>
  <si>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</si>
  <si>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</si>
  <si>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</si>
  <si>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</si>
  <si>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</si>
  <si>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</si>
  <si>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</si>
  <si>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</si>
  <si>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</si>
  <si>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</si>
  <si>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</si>
  <si>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</si>
  <si>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</si>
  <si>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</si>
  <si>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</si>
  <si>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</si>
  <si>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</si>
  <si>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</si>
  <si>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</si>
  <si>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</si>
  <si>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</si>
  <si>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</si>
  <si>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</si>
  <si>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</si>
  <si>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</si>
  <si>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</si>
  <si>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</si>
  <si>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</si>
  <si>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</si>
  <si>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</si>
  <si>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</si>
  <si>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</si>
  <si>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</si>
  <si>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</si>
  <si>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</si>
  <si>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</si>
  <si>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</si>
  <si>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</si>
  <si>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</si>
  <si>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</si>
  <si>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</si>
  <si>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</si>
  <si>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</si>
  <si>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</si>
  <si>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</si>
  <si>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</si>
  <si>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</si>
  <si>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</si>
  <si>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</si>
  <si>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</si>
  <si>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</si>
  <si>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</si>
  <si>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</si>
  <si>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</si>
  <si>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</si>
  <si>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</si>
  <si>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</si>
  <si>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</si>
  <si>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</si>
  <si>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</si>
  <si>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</si>
  <si>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</si>
  <si>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</si>
  <si>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</si>
  <si>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</si>
  <si>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</si>
  <si>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</si>
  <si>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</si>
  <si>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</si>
  <si>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</si>
  <si>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</si>
  <si>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</si>
  <si>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</si>
  <si>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</si>
  <si>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</si>
  <si>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</si>
  <si>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</si>
  <si>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</si>
  <si>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</si>
  <si>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</si>
  <si>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</si>
  <si>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</si>
  <si>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</si>
  <si>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</si>
  <si>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</si>
  <si>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</si>
  <si>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</si>
  <si>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</si>
  <si>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</si>
  <si>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</si>
  <si>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</si>
  <si>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</si>
  <si>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</si>
  <si>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</si>
  <si>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</si>
  <si>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</si>
  <si>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</si>
  <si>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</si>
  <si>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</si>
  <si>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</si>
  <si>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</si>
  <si>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</si>
  <si>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</si>
  <si>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</si>
  <si>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</si>
  <si>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</si>
  <si>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</si>
  <si>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</si>
  <si>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</si>
  <si>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</si>
  <si>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</si>
  <si>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</si>
  <si>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</si>
  <si>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</si>
  <si>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</si>
  <si>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</si>
  <si>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</si>
  <si>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</si>
  <si>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</si>
  <si>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</si>
  <si>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</si>
  <si>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</si>
  <si>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</si>
  <si>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</si>
  <si>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</si>
  <si>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</si>
  <si>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</si>
  <si>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</si>
  <si>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</si>
  <si>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</si>
  <si>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</si>
  <si>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</si>
  <si>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</si>
  <si>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</si>
  <si>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</si>
  <si>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</si>
  <si>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</si>
  <si>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</si>
  <si>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</si>
  <si>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</si>
  <si>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</si>
  <si>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</si>
  <si>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</si>
  <si>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</si>
  <si>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</si>
  <si>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</si>
  <si>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</si>
  <si>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</si>
  <si>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</si>
  <si>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</si>
  <si>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</si>
  <si>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</si>
  <si>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</si>
  <si>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</si>
  <si>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</si>
  <si>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</si>
  <si>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</si>
  <si>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</si>
  <si>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</si>
  <si>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</si>
  <si>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</si>
  <si>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</si>
  <si>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</si>
  <si>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</si>
  <si>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</si>
  <si>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</si>
  <si>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</si>
  <si>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</si>
  <si>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</si>
  <si>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</si>
  <si>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</si>
  <si>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</si>
  <si>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</si>
  <si>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</si>
  <si>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</si>
  <si>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</si>
  <si>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</si>
  <si>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</si>
  <si>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</si>
  <si>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</si>
  <si>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</si>
  <si>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</si>
  <si>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</si>
  <si>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</si>
  <si>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</si>
  <si>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</si>
  <si>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</si>
  <si>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</si>
  <si>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</si>
  <si>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</si>
  <si>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</si>
  <si>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</si>
  <si>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</si>
  <si>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</si>
  <si>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</si>
  <si>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</si>
  <si>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</si>
  <si>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</si>
  <si>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</si>
  <si>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</si>
  <si>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</si>
  <si>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</si>
  <si>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</si>
  <si>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</si>
  <si>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</si>
  <si>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</si>
  <si>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</si>
  <si>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</si>
  <si>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</si>
  <si>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</si>
  <si>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</si>
  <si>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</si>
  <si>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</si>
  <si>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</si>
  <si>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</si>
  <si>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</si>
  <si>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</si>
  <si>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</si>
  <si>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</si>
  <si>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</si>
  <si>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</si>
  <si>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</si>
  <si>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</si>
  <si>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</si>
  <si>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</si>
  <si>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</si>
  <si>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</si>
  <si>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</si>
  <si>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</si>
  <si>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</si>
  <si>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</si>
  <si>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</si>
  <si>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</si>
  <si>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</si>
  <si>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</si>
  <si>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</si>
  <si>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</si>
  <si>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</si>
  <si>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</si>
  <si>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</si>
  <si>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</si>
  <si>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</si>
  <si>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</si>
  <si>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</si>
  <si>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</si>
  <si>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</si>
  <si>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</si>
  <si>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</si>
  <si>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</si>
  <si>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</si>
  <si>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</si>
  <si>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</si>
  <si>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</si>
  <si>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</si>
  <si>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</si>
  <si>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</si>
  <si>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</si>
  <si>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</si>
  <si>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</si>
  <si>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</si>
  <si>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</si>
  <si>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</si>
  <si>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</si>
  <si>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</si>
  <si>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</si>
  <si>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</si>
  <si>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</si>
  <si>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</si>
  <si>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</si>
  <si>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</si>
  <si>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</si>
  <si>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</si>
  <si>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</si>
  <si>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</si>
  <si>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</si>
  <si>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</si>
  <si>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</si>
  <si>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</si>
  <si>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</si>
  <si>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</si>
  <si>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</si>
  <si>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</si>
  <si>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</si>
  <si>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</si>
  <si>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</si>
  <si>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</si>
  <si>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</si>
  <si>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</si>
  <si>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</si>
  <si>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</si>
  <si>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</si>
  <si>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</si>
  <si>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</si>
  <si>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</si>
  <si>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</si>
  <si>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</si>
  <si>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</si>
  <si>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</si>
  <si>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</si>
  <si>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</si>
  <si>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</si>
  <si>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</si>
  <si>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</si>
  <si>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</si>
  <si>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</si>
  <si>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</si>
  <si>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</si>
  <si>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</si>
  <si>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</si>
  <si>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</si>
  <si>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</si>
  <si>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</si>
  <si>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</si>
  <si>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</si>
  <si>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</si>
  <si>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</si>
  <si>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</si>
  <si>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</si>
  <si>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</si>
  <si>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</si>
  <si>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</si>
  <si>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</si>
  <si>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</si>
  <si>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</si>
  <si>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</si>
  <si>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</si>
  <si>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</si>
  <si>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</si>
  <si>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</si>
  <si>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</si>
  <si>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</si>
  <si>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</si>
  <si>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</si>
  <si>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</si>
  <si>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</si>
  <si>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</si>
  <si>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</si>
  <si>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</si>
  <si>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</si>
  <si>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</si>
  <si>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</si>
  <si>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</si>
  <si>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</si>
  <si>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</si>
  <si>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</si>
  <si>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</si>
  <si>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</si>
  <si>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</si>
  <si>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</si>
  <si>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</si>
  <si>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</si>
  <si>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</si>
  <si>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</si>
  <si>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</si>
  <si>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</si>
  <si>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</si>
  <si>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</si>
  <si>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</si>
  <si>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</si>
  <si>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</si>
  <si>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</si>
  <si>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</si>
  <si>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</si>
  <si>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</si>
  <si>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</si>
  <si>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</si>
  <si>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</si>
  <si>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</si>
  <si>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</si>
  <si>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</si>
  <si>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</si>
  <si>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</si>
  <si>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</si>
  <si>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</si>
  <si>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</si>
  <si>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</si>
  <si>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</si>
  <si>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</si>
  <si>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</si>
  <si>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</si>
  <si>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</si>
  <si>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</si>
  <si>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</si>
  <si>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</si>
  <si>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</si>
  <si>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</si>
  <si>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</si>
  <si>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</si>
  <si>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</si>
  <si>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</si>
  <si>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</si>
  <si>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</si>
  <si>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</si>
  <si>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</si>
  <si>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</si>
  <si>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</si>
  <si>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</si>
  <si>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</si>
  <si>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</si>
  <si>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</si>
  <si>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</si>
  <si>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</si>
  <si>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</si>
  <si>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</si>
  <si>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</si>
  <si>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</si>
  <si>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</si>
  <si>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</si>
  <si>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</si>
  <si>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</si>
  <si>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</si>
  <si>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</si>
  <si>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</si>
  <si>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</si>
  <si>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</si>
  <si>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</si>
  <si>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</si>
  <si>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</si>
  <si>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</si>
  <si>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</si>
  <si>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</si>
  <si>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</si>
  <si>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</si>
  <si>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</si>
  <si>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</si>
  <si>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</si>
  <si>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</si>
  <si>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</si>
  <si>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</si>
  <si>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</si>
  <si>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</si>
  <si>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</si>
  <si>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</si>
  <si>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</si>
  <si>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</si>
  <si>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</si>
  <si>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</si>
  <si>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</si>
  <si>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</si>
  <si>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</si>
  <si>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</si>
  <si>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</si>
  <si>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</si>
  <si>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</si>
  <si>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</si>
  <si>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</si>
  <si>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</si>
  <si>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</si>
  <si>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</si>
  <si>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</si>
  <si>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</si>
  <si>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</si>
  <si>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</si>
  <si>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</si>
  <si>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</si>
  <si>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</si>
  <si>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</si>
  <si>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</si>
  <si>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</si>
  <si>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</si>
  <si>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</si>
  <si>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</si>
  <si>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</si>
  <si>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</si>
  <si>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</si>
  <si>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</si>
  <si>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</si>
  <si>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</si>
  <si>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</si>
  <si>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</si>
  <si>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</si>
  <si>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</si>
  <si>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</si>
  <si>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</si>
  <si>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</si>
  <si>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</si>
  <si>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</si>
  <si>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</si>
  <si>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</si>
  <si>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</si>
  <si>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</si>
  <si>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</si>
  <si>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</si>
  <si>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</si>
  <si>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</si>
  <si>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</si>
  <si>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</si>
  <si>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</si>
  <si>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</si>
  <si>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</si>
  <si>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</si>
  <si>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</si>
  <si>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</si>
  <si>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</si>
  <si>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</si>
  <si>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</si>
  <si>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</si>
  <si>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</si>
  <si>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</si>
  <si>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</si>
  <si>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</si>
  <si>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</si>
  <si>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</si>
  <si>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</si>
  <si>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</si>
  <si>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</si>
  <si>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</si>
  <si>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</si>
  <si>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</si>
  <si>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</si>
  <si>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</si>
  <si>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</si>
  <si>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</si>
  <si>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</si>
  <si>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</si>
  <si>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</si>
  <si>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</si>
  <si>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</si>
  <si>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</si>
  <si>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</si>
  <si>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</si>
  <si>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</si>
  <si>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</si>
  <si>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</si>
  <si>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</si>
  <si>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</si>
  <si>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</si>
  <si>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</si>
  <si>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</si>
  <si>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</si>
  <si>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</si>
  <si>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</si>
  <si>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</si>
  <si>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</si>
  <si>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</si>
  <si>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</si>
  <si>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</si>
  <si>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</si>
  <si>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</si>
  <si>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</si>
  <si>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</si>
  <si>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</si>
  <si>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</si>
  <si>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</si>
  <si>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</si>
  <si>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</si>
  <si>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</si>
  <si>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</si>
  <si>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</si>
  <si>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</si>
  <si>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</si>
  <si>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</si>
  <si>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</si>
  <si>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</si>
  <si>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</si>
  <si>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</si>
  <si>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</si>
  <si>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</si>
  <si>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</si>
  <si>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</si>
  <si>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</si>
  <si>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</si>
  <si>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</si>
  <si>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</si>
  <si>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</si>
  <si>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</si>
  <si>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</si>
  <si>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</si>
  <si>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</si>
  <si>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</si>
  <si>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</si>
  <si>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</si>
  <si>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</si>
  <si>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</si>
  <si>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</si>
  <si>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</si>
  <si>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</si>
  <si>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</si>
  <si>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</si>
  <si>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</si>
  <si>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</si>
  <si>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</si>
  <si>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</si>
  <si>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</si>
  <si>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</si>
  <si>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</si>
  <si>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</si>
  <si>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</si>
  <si>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</si>
  <si>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</si>
  <si>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</si>
  <si>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</si>
  <si>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</si>
  <si>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</si>
  <si>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</si>
  <si>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</si>
  <si>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</si>
  <si>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</si>
  <si>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</si>
  <si>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</si>
  <si>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</si>
  <si>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</si>
  <si>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</si>
  <si>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</si>
  <si>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</si>
  <si>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</si>
  <si>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</si>
  <si>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</si>
  <si>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</si>
  <si>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</si>
  <si>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</si>
  <si>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</si>
  <si>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</si>
  <si>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</si>
  <si>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</si>
  <si>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</si>
  <si>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</si>
  <si>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</si>
  <si>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</si>
  <si>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</si>
  <si>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</si>
  <si>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</si>
  <si>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</si>
  <si>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</si>
  <si>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</si>
  <si>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</si>
  <si>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</si>
  <si>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</si>
  <si>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</si>
  <si>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</si>
  <si>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</si>
  <si>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</si>
  <si>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</si>
  <si>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</si>
  <si>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</si>
  <si>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</si>
  <si>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</si>
  <si>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</si>
  <si>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</si>
  <si>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</si>
  <si>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</si>
  <si>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</si>
  <si>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</si>
  <si>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</si>
  <si>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</si>
  <si>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</si>
  <si>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</si>
  <si>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</si>
  <si>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</si>
  <si>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</si>
  <si>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</si>
  <si>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</si>
  <si>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</si>
  <si>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</si>
  <si>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</si>
  <si>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</si>
  <si>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</si>
  <si>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</si>
  <si>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</si>
  <si>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</si>
  <si>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</si>
  <si>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</si>
  <si>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</si>
  <si>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</si>
  <si>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</si>
  <si>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</si>
  <si>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</si>
  <si>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</si>
  <si>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</si>
  <si>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</si>
  <si>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</si>
  <si>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</si>
  <si>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</si>
  <si>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</si>
  <si>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</si>
  <si>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</si>
  <si>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</si>
  <si>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</si>
  <si>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</si>
  <si>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</si>
  <si>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</si>
  <si>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</si>
  <si>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</si>
  <si>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</si>
  <si>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</si>
  <si>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</si>
  <si>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</si>
  <si>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</si>
  <si>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</si>
  <si>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</si>
  <si>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</si>
  <si>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</si>
  <si>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</si>
  <si>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</si>
  <si>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</si>
  <si>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</si>
  <si>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</si>
  <si>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</si>
  <si>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</si>
  <si>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</si>
  <si>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</si>
  <si>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</si>
  <si>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</si>
  <si>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</si>
  <si>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</si>
  <si>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</si>
  <si>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</si>
  <si>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</si>
  <si>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</si>
  <si>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</si>
  <si>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</si>
  <si>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</si>
  <si>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</si>
  <si>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</si>
  <si>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</si>
  <si>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</si>
  <si>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</si>
  <si>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</si>
  <si>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</si>
  <si>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</si>
  <si>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</si>
  <si>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</si>
  <si>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</si>
  <si>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</si>
  <si>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</si>
  <si>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</si>
  <si>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</si>
  <si>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</si>
  <si>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</si>
  <si>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</si>
  <si>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</si>
  <si>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</si>
  <si>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</si>
  <si>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</si>
  <si>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</si>
  <si>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</si>
  <si>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</si>
  <si>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</si>
  <si>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</si>
  <si>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</si>
  <si>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</si>
  <si>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</si>
  <si>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</si>
  <si>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</si>
  <si>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</si>
  <si>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</si>
  <si>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</si>
  <si>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</si>
  <si>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</si>
  <si>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</si>
  <si>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</si>
  <si>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</si>
  <si>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</si>
  <si>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</si>
  <si>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</si>
  <si>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</si>
  <si>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</si>
  <si>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</si>
  <si>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</si>
  <si>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</si>
  <si>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</si>
  <si>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</si>
  <si>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</si>
  <si>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</si>
  <si>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</si>
  <si>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</si>
  <si>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</si>
  <si>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</si>
  <si>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</si>
  <si>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</si>
  <si>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</si>
  <si>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</si>
  <si>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</si>
  <si>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</si>
  <si>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</si>
  <si>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</si>
  <si>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</si>
  <si>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</si>
  <si>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</si>
  <si>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</si>
  <si>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</si>
  <si>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</si>
  <si>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</si>
  <si>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</si>
  <si>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</si>
  <si>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</si>
  <si>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</si>
  <si>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</si>
  <si>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</si>
  <si>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</si>
  <si>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</si>
  <si>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</si>
  <si>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</si>
  <si>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</si>
  <si>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</si>
  <si>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</si>
  <si>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</si>
  <si>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</si>
  <si>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</si>
  <si>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</si>
  <si>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</si>
  <si>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</si>
  <si>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</si>
  <si>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</si>
  <si>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</si>
  <si>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</si>
  <si>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</si>
  <si>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</si>
  <si>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</si>
  <si>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</si>
  <si>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</si>
  <si>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</si>
  <si>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</si>
  <si>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</si>
  <si>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</si>
  <si>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</si>
  <si>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</si>
  <si>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</si>
  <si>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</si>
  <si>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</si>
  <si>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</si>
  <si>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</si>
  <si>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</si>
  <si>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</si>
  <si>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</si>
  <si>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</si>
  <si>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</si>
  <si>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</si>
  <si>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</si>
  <si>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</si>
  <si>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</si>
  <si>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</si>
  <si>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</si>
  <si>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</si>
  <si>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</si>
  <si>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</si>
  <si>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</si>
  <si>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</si>
  <si>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</si>
  <si>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</si>
  <si>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</si>
  <si>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</si>
  <si>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</si>
  <si>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</si>
  <si>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</si>
  <si>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</si>
  <si>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</si>
  <si>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</si>
  <si>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</si>
  <si>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</si>
  <si>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</si>
  <si>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</si>
  <si>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</si>
  <si>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</si>
  <si>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</si>
  <si>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</si>
  <si>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</si>
  <si>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</si>
  <si>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</si>
  <si>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</si>
  <si>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</si>
  <si>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</si>
  <si>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</si>
  <si>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</si>
  <si>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</si>
  <si>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</si>
  <si>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</si>
  <si>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</si>
  <si>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</si>
  <si>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</si>
  <si>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</si>
  <si>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</si>
  <si>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</si>
  <si>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</si>
  <si>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</si>
  <si>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</si>
  <si>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</si>
  <si>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</si>
  <si>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</si>
  <si>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</si>
  <si>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</si>
  <si>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</si>
  <si>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</si>
  <si>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</si>
  <si>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</si>
  <si>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</si>
  <si>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</si>
  <si>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</si>
  <si>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</si>
  <si>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</si>
  <si>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</si>
  <si>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</si>
  <si>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</si>
  <si>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</si>
  <si>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</si>
  <si>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</si>
  <si>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</si>
  <si>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</si>
  <si>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</si>
  <si>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</si>
  <si>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</si>
  <si>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</si>
  <si>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</si>
  <si>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</si>
  <si>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</si>
  <si>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</si>
  <si>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</si>
  <si>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</si>
  <si>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</si>
  <si>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</si>
  <si>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</si>
  <si>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</si>
  <si>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</si>
  <si>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</si>
  <si>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</si>
  <si>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</si>
  <si>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</si>
  <si>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</si>
  <si>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</si>
  <si>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</si>
  <si>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</si>
  <si>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</si>
  <si>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</si>
  <si>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</si>
  <si>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</si>
  <si>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</si>
  <si>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</si>
  <si>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</si>
  <si>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</si>
  <si>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</si>
  <si>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</si>
  <si>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</si>
  <si>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</si>
  <si>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</si>
  <si>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</si>
  <si>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</si>
  <si>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</si>
  <si>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</si>
  <si>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</si>
  <si>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</si>
  <si>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</si>
  <si>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</si>
  <si>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</si>
  <si>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</si>
  <si>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</si>
  <si>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</si>
  <si>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</si>
  <si>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</si>
  <si>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</si>
  <si>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</si>
  <si>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</si>
  <si>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</si>
  <si>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</si>
  <si>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</si>
  <si>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</si>
  <si>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</si>
  <si>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</si>
  <si>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</si>
  <si>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</si>
  <si>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</si>
  <si>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</si>
  <si>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</si>
  <si>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</si>
  <si>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</si>
  <si>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</si>
  <si>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</si>
  <si>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</si>
  <si>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</si>
  <si>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</si>
  <si>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</si>
  <si>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</si>
  <si>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</si>
  <si>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</si>
  <si>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</si>
  <si>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</si>
  <si>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</si>
  <si>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</si>
  <si>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</si>
  <si>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</si>
  <si>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</si>
  <si>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</si>
  <si>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</si>
  <si>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</si>
  <si>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</si>
  <si>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</si>
  <si>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</si>
  <si>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</si>
  <si>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</si>
  <si>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</si>
  <si>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</si>
  <si>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</si>
  <si>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</si>
  <si>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</si>
  <si>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</si>
  <si>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</si>
  <si>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</si>
  <si>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</si>
  <si>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</si>
  <si>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</si>
  <si>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</si>
  <si>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</si>
  <si>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</si>
  <si>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</si>
  <si>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</si>
  <si>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</si>
  <si>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</si>
  <si>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</si>
  <si>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</si>
  <si>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</si>
  <si>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</si>
  <si>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</si>
  <si>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</si>
  <si>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</si>
  <si>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</si>
  <si>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</si>
  <si>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</si>
  <si>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</si>
  <si>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</si>
  <si>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</si>
  <si>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</si>
  <si>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</si>
  <si>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</si>
  <si>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</si>
  <si>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</si>
  <si>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</si>
  <si>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</si>
  <si>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</si>
  <si>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</si>
  <si>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</si>
  <si>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</si>
  <si>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</si>
  <si>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</si>
  <si>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</si>
  <si>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</si>
  <si>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</si>
  <si>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</si>
  <si>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</si>
  <si>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</si>
  <si>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</si>
  <si>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</si>
  <si>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</si>
  <si>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</si>
  <si>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</si>
  <si>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</si>
  <si>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</si>
  <si>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</si>
  <si>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</si>
  <si>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</si>
  <si>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</si>
  <si>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</si>
  <si>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</si>
  <si>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</si>
  <si>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</si>
  <si>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</si>
  <si>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</si>
  <si>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</si>
  <si>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</si>
  <si>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</si>
  <si>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</si>
  <si>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</si>
  <si>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</si>
  <si>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</si>
  <si>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</si>
  <si>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</si>
  <si>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</si>
  <si>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</si>
  <si>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</si>
  <si>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</si>
  <si>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</si>
  <si>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</si>
  <si>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</si>
  <si>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</si>
  <si>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</si>
  <si>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</si>
  <si>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</si>
  <si>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</si>
  <si>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</si>
  <si>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</si>
  <si>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</si>
  <si>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</si>
  <si>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</si>
  <si>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</si>
  <si>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</si>
  <si>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</si>
  <si>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</si>
  <si>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</si>
  <si>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</si>
  <si>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</si>
  <si>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</si>
  <si>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</si>
  <si>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</si>
  <si>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</si>
  <si>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</si>
  <si>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</si>
  <si>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</si>
  <si>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</si>
  <si>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</si>
  <si>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</si>
  <si>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</si>
  <si>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</si>
  <si>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</si>
  <si>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</si>
  <si>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</si>
  <si>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</si>
  <si>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</si>
  <si>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</si>
  <si>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</si>
  <si>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</si>
  <si>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</si>
  <si>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</si>
  <si>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</si>
  <si>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</si>
  <si>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</si>
  <si>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</si>
  <si>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</si>
  <si>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</si>
  <si>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</si>
  <si>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</si>
  <si>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</si>
  <si>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</si>
  <si>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</si>
  <si>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</si>
  <si>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</si>
  <si>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</si>
  <si>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</si>
  <si>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</si>
  <si>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</si>
  <si>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</si>
  <si>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</si>
  <si>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</si>
  <si>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</si>
  <si>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</si>
  <si>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</si>
  <si>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</si>
  <si>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</si>
  <si>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</si>
  <si>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</si>
  <si>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</si>
  <si>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</si>
  <si>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</si>
  <si>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</si>
  <si>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</si>
  <si>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</si>
  <si>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</si>
  <si>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</si>
  <si>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</si>
  <si>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</si>
  <si>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</si>
  <si>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</si>
  <si>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</si>
  <si>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</si>
  <si>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</si>
  <si>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</si>
  <si>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</si>
  <si>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</si>
  <si>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</si>
  <si>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</si>
  <si>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</si>
  <si>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</si>
  <si>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</si>
  <si>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</si>
  <si>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</si>
  <si>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</si>
  <si>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</si>
  <si>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</si>
  <si>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</si>
  <si>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</si>
  <si>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</si>
  <si>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</si>
  <si>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</si>
  <si>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</si>
  <si>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</si>
  <si>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</si>
  <si>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</si>
  <si>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</si>
  <si>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</si>
  <si>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</si>
  <si>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</si>
  <si>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</si>
  <si>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</si>
  <si>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</si>
  <si>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</si>
  <si>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</si>
  <si>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</si>
  <si>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</si>
  <si>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</si>
  <si>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</si>
  <si>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</si>
  <si>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</si>
  <si>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</si>
  <si>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</si>
  <si>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</si>
  <si>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</si>
  <si>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</si>
  <si>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</si>
  <si>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</si>
  <si>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</si>
  <si>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</si>
  <si>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</si>
  <si>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</si>
  <si>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</si>
  <si>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</si>
  <si>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</si>
  <si>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</si>
  <si>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</si>
  <si>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</si>
  <si>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</si>
  <si>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</si>
  <si>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</si>
  <si>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</si>
  <si>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</si>
  <si>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</si>
  <si>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</si>
  <si>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</si>
  <si>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</si>
  <si>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</si>
  <si>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</si>
  <si>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</si>
  <si>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</si>
  <si>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</si>
  <si>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</si>
  <si>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</si>
  <si>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</si>
  <si>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</si>
  <si>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</si>
  <si>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</si>
  <si>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</si>
  <si>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</si>
  <si>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</si>
  <si>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</si>
  <si>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</si>
  <si>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</si>
  <si>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</si>
  <si>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</si>
  <si>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</si>
  <si>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</si>
  <si>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</si>
  <si>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</si>
  <si>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</si>
  <si>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</si>
  <si>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</si>
  <si>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</si>
  <si>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</si>
  <si>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</si>
  <si>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</si>
  <si>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</si>
  <si>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</si>
  <si>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</si>
  <si>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</si>
  <si>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</si>
  <si>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</si>
  <si>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</si>
  <si>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</si>
  <si>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</si>
  <si>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</si>
  <si>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</si>
  <si>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</si>
  <si>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</si>
  <si>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</si>
  <si>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</si>
  <si>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</si>
  <si>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</si>
  <si>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</si>
  <si>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</si>
  <si>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</si>
  <si>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</si>
  <si>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</si>
  <si>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</si>
  <si>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</si>
  <si>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</si>
  <si>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</si>
  <si>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</si>
  <si>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</si>
  <si>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</si>
  <si>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</si>
  <si>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</si>
  <si>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</si>
  <si>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</si>
  <si>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</si>
  <si>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</si>
  <si>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</si>
  <si>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</si>
  <si>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</si>
  <si>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</si>
  <si>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</si>
  <si>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</si>
  <si>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</si>
  <si>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</si>
  <si>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</si>
  <si>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</si>
  <si>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</si>
  <si>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</si>
  <si>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</si>
  <si>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</si>
  <si>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</si>
  <si>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</si>
  <si>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</si>
  <si>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</si>
  <si>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</si>
  <si>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</si>
  <si>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</si>
  <si>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</si>
  <si>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</si>
  <si>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</si>
  <si>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</si>
  <si>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</si>
  <si>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</si>
  <si>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</si>
  <si>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</si>
  <si>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</si>
  <si>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</si>
  <si>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</si>
  <si>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</si>
  <si>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</si>
  <si>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</si>
  <si>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</si>
  <si>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</si>
  <si>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</si>
  <si>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</si>
  <si>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</si>
  <si>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</si>
  <si>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</si>
  <si>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</si>
  <si>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</si>
  <si>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</si>
  <si>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</si>
  <si>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</si>
  <si>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</si>
  <si>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</si>
  <si>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</si>
  <si>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</si>
  <si>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</si>
  <si>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</si>
  <si>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</si>
  <si>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</si>
  <si>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</si>
  <si>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</si>
  <si>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</si>
  <si>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</si>
  <si>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</si>
  <si>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</si>
  <si>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</si>
  <si>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</si>
  <si>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</si>
  <si>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</si>
  <si>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</si>
  <si>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</si>
  <si>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</si>
  <si>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</si>
  <si>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</si>
  <si>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</si>
  <si>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</si>
  <si>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</si>
  <si>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</si>
  <si>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</si>
  <si>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</si>
  <si>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</si>
  <si>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</si>
  <si>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</si>
  <si>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</si>
  <si>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</si>
  <si>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</si>
  <si>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</si>
  <si>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</si>
  <si>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</si>
  <si>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</si>
  <si>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</si>
  <si>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</si>
  <si>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</si>
  <si>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</si>
  <si>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</si>
  <si>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</si>
  <si>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</si>
  <si>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</si>
  <si>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</si>
  <si>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</si>
  <si>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</si>
  <si>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</si>
  <si>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</si>
  <si>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</si>
  <si>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</si>
  <si>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</si>
  <si>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</si>
  <si>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</si>
  <si>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</si>
  <si>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</si>
  <si>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</si>
  <si>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</si>
  <si>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</si>
  <si>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</si>
  <si>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</si>
  <si>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</si>
  <si>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</si>
  <si>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</si>
  <si>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</si>
  <si>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</si>
  <si>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</si>
  <si>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</si>
  <si>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</si>
  <si>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</si>
  <si>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</si>
  <si>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</si>
  <si>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</si>
  <si>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</si>
  <si>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</si>
  <si>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</si>
  <si>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</si>
  <si>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</si>
  <si>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</si>
  <si>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</si>
  <si>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</si>
  <si>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</si>
  <si>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</si>
  <si>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</si>
  <si>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</si>
  <si>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</si>
  <si>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</si>
  <si>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</si>
  <si>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</si>
  <si>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</si>
  <si>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</si>
  <si>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</si>
  <si>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</si>
  <si>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</si>
  <si>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</si>
  <si>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</si>
  <si>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</si>
  <si>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</si>
  <si>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</si>
  <si>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</si>
  <si>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</si>
  <si>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</si>
  <si>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</si>
  <si>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</si>
  <si>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</si>
  <si>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</si>
  <si>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</si>
  <si>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</si>
  <si>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</si>
  <si>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</si>
  <si>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</si>
  <si>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</si>
  <si>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</si>
  <si>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</si>
  <si>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</si>
  <si>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</si>
  <si>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</si>
  <si>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</si>
  <si>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</si>
  <si>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</si>
  <si>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</si>
  <si>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</si>
  <si>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</si>
  <si>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</si>
  <si>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</si>
  <si>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</si>
  <si>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</si>
  <si>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</si>
  <si>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</si>
  <si>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</si>
  <si>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</si>
  <si>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</si>
  <si>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</si>
  <si>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</si>
  <si>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</si>
  <si>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</si>
  <si>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</si>
  <si>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</si>
  <si>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</si>
  <si>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</si>
  <si>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</si>
  <si>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</si>
  <si>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</si>
  <si>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</si>
  <si>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</si>
  <si>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</si>
  <si>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</si>
  <si>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</si>
  <si>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</si>
  <si>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</si>
  <si>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</si>
  <si>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</si>
  <si>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</si>
  <si>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</si>
  <si>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</si>
  <si>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</si>
  <si>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</si>
  <si>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</si>
  <si>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</si>
  <si>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</si>
  <si>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</si>
  <si>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</si>
  <si>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</si>
  <si>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</si>
  <si>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</si>
  <si>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</si>
  <si>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</si>
  <si>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</si>
  <si>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</si>
  <si>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</si>
  <si>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</si>
  <si>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</si>
  <si>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</si>
  <si>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</si>
  <si>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</si>
  <si>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</si>
  <si>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</si>
  <si>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</si>
  <si>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</si>
  <si>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</si>
  <si>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</si>
  <si>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</si>
  <si>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</si>
  <si>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</si>
  <si>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</si>
  <si>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</si>
  <si>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</si>
  <si>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</si>
  <si>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</si>
  <si>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</si>
  <si>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</si>
  <si>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</si>
  <si>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</si>
  <si>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</si>
  <si>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</si>
  <si>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</si>
  <si>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</si>
  <si>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</si>
  <si>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</si>
  <si>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</si>
  <si>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</si>
  <si>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</si>
  <si>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</si>
  <si>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</si>
  <si>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</si>
  <si>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</si>
  <si>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</si>
  <si>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</si>
  <si>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</si>
  <si>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</si>
  <si>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</si>
  <si>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</si>
  <si>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</si>
  <si>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</si>
  <si>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</si>
  <si>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</si>
  <si>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</si>
  <si>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</si>
  <si>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</si>
  <si>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</si>
  <si>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</si>
  <si>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</si>
  <si>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</si>
  <si>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</si>
  <si>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</si>
  <si>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</si>
  <si>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</si>
  <si>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</si>
  <si>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</si>
  <si>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</si>
  <si>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</si>
  <si>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</si>
  <si>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</si>
  <si>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</si>
  <si>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</si>
  <si>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</si>
  <si>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</si>
  <si>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</si>
  <si>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</si>
  <si>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</si>
  <si>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</si>
  <si>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</si>
  <si>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</si>
  <si>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</si>
  <si>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</si>
  <si>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</si>
  <si>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</si>
  <si>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</si>
  <si>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</si>
  <si>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</si>
  <si>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</si>
  <si>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</si>
  <si>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</si>
  <si>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</si>
  <si>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</si>
  <si>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</si>
  <si>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</si>
  <si>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</si>
  <si>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</si>
  <si>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</si>
  <si>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</si>
  <si>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</si>
  <si>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</si>
  <si>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</si>
  <si>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</si>
  <si>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</si>
  <si>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</si>
  <si>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</si>
  <si>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</si>
  <si>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</si>
  <si>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</si>
  <si>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</si>
  <si>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</si>
  <si>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</si>
  <si>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</si>
  <si>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</si>
  <si>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</si>
  <si>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</si>
  <si>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</si>
  <si>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</si>
  <si>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</si>
  <si>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</si>
  <si>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</si>
  <si>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</si>
  <si>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</si>
  <si>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</si>
  <si>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</si>
  <si>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</si>
  <si>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</si>
  <si>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</si>
  <si>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</si>
  <si>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</si>
  <si>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</si>
  <si>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</si>
  <si>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</si>
  <si>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</si>
  <si>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</si>
  <si>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</si>
  <si>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</si>
  <si>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</si>
  <si>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</si>
  <si>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</si>
  <si>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</si>
  <si>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</si>
  <si>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</si>
  <si>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</si>
  <si>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</si>
  <si>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</si>
  <si>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</si>
  <si>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</si>
  <si>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</si>
  <si>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</si>
  <si>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</si>
  <si>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</si>
  <si>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</si>
  <si>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</si>
  <si>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</si>
  <si>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</si>
  <si>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</si>
  <si>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</si>
  <si>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</si>
  <si>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</si>
  <si>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</si>
  <si>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</si>
  <si>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</si>
  <si>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</si>
  <si>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</si>
  <si>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</si>
  <si>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</si>
  <si>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</si>
  <si>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</si>
  <si>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</si>
  <si>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</si>
  <si>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</si>
  <si>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</si>
  <si>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</si>
  <si>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</si>
  <si>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</si>
  <si>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</si>
  <si>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</si>
  <si>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</si>
  <si>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</si>
  <si>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</si>
  <si>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</si>
  <si>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</si>
  <si>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</si>
  <si>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</si>
  <si>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</si>
  <si>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</si>
  <si>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</si>
  <si>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</si>
  <si>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</si>
  <si>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</si>
  <si>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</si>
  <si>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</si>
  <si>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</si>
  <si>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</si>
  <si>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</si>
  <si>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</si>
  <si>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</si>
  <si>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</si>
  <si>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</si>
  <si>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</si>
  <si>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</si>
  <si>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</si>
  <si>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</si>
  <si>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</si>
  <si>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</si>
  <si>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</si>
  <si>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</si>
  <si>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</si>
  <si>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</si>
  <si>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</si>
  <si>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</si>
  <si>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</si>
  <si>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</si>
  <si>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</si>
  <si>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</si>
  <si>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</si>
  <si>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</si>
  <si>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</si>
  <si>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</si>
  <si>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</si>
  <si>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</si>
  <si>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</si>
  <si>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</si>
  <si>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</si>
  <si>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</si>
  <si>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</si>
  <si>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</si>
  <si>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</si>
  <si>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</si>
  <si>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</si>
  <si>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</si>
  <si>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</si>
  <si>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</si>
  <si>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</si>
  <si>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</si>
  <si>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</si>
  <si>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</si>
  <si>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</si>
  <si>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</si>
  <si>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</si>
  <si>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</si>
  <si>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</si>
  <si>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</si>
  <si>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</si>
  <si>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</si>
  <si>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</si>
  <si>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</si>
  <si>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</si>
  <si>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</si>
  <si>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</si>
  <si>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</si>
  <si>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</si>
  <si>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</si>
  <si>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</si>
  <si>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</si>
  <si>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</si>
  <si>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</si>
  <si>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</si>
  <si>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</si>
  <si>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</si>
  <si>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</si>
  <si>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</si>
  <si>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</si>
  <si>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</si>
  <si>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</si>
  <si>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</si>
  <si>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</si>
  <si>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</si>
  <si>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</si>
  <si>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</si>
  <si>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</si>
  <si>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</si>
  <si>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</si>
  <si>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</si>
  <si>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</si>
  <si>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</si>
  <si>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</si>
  <si>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</si>
  <si>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</si>
  <si>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</si>
  <si>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</si>
  <si>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</si>
  <si>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</si>
  <si>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</si>
  <si>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</si>
  <si>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</si>
  <si>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</si>
  <si>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</si>
  <si>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</si>
  <si>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</si>
  <si>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</si>
  <si>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</si>
  <si>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</si>
  <si>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</si>
  <si>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</si>
  <si>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</si>
  <si>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</si>
  <si>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</si>
  <si>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</si>
  <si>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</si>
  <si>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</si>
  <si>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</si>
  <si>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</si>
  <si>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</si>
  <si>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</si>
  <si>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</si>
  <si>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</si>
  <si>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</si>
  <si>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</si>
  <si>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</si>
  <si>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</si>
  <si>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</si>
  <si>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</si>
  <si>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</si>
  <si>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</si>
  <si>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</si>
  <si>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</si>
  <si>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</si>
  <si>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</si>
  <si>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</si>
  <si>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</si>
  <si>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</si>
  <si>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</si>
  <si>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</si>
  <si>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</si>
  <si>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</si>
  <si>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</si>
  <si>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</si>
  <si>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</si>
  <si>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</si>
  <si>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</si>
  <si>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</si>
  <si>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</si>
  <si>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</si>
  <si>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</si>
  <si>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</si>
  <si>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</si>
  <si>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</si>
  <si>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</si>
  <si>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</si>
  <si>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</si>
  <si>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</si>
  <si>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</si>
  <si>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</si>
  <si>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</si>
  <si>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</si>
  <si>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</si>
  <si>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</si>
  <si>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</si>
  <si>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</si>
  <si>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</si>
  <si>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</si>
  <si>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</si>
  <si>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</si>
  <si>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</si>
  <si>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</si>
  <si>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</si>
  <si>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</si>
  <si>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</si>
  <si>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</si>
  <si>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</si>
  <si>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</si>
  <si>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</si>
  <si>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</si>
  <si>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</si>
  <si>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</si>
  <si>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</si>
  <si>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</si>
  <si>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</si>
  <si>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</si>
  <si>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</si>
  <si>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</si>
  <si>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</si>
  <si>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</si>
  <si>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</si>
  <si>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</si>
  <si>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</si>
  <si>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</si>
  <si>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</si>
  <si>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</si>
  <si>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</si>
  <si>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</si>
  <si>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</si>
  <si>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</si>
  <si>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</si>
  <si>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</si>
  <si>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</si>
  <si>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</si>
  <si>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</si>
  <si>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</si>
  <si>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</si>
  <si>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</si>
  <si>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</si>
  <si>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</si>
  <si>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</si>
  <si>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</si>
  <si>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</si>
  <si>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</si>
  <si>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</si>
  <si>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</si>
  <si>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</si>
  <si>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</si>
  <si>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</si>
  <si>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</si>
  <si>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</si>
  <si>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</si>
  <si>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</si>
  <si>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</si>
  <si>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</si>
  <si>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</si>
  <si>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</si>
  <si>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</si>
  <si>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</si>
  <si>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</si>
  <si>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</si>
  <si>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</si>
  <si>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</si>
  <si>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</si>
  <si>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</si>
  <si>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</si>
  <si>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</si>
  <si>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</si>
  <si>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</si>
  <si>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</si>
  <si>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</si>
  <si>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</si>
  <si>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</si>
  <si>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</si>
  <si>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</si>
  <si>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</si>
  <si>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</si>
  <si>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</si>
  <si>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</si>
  <si>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</si>
  <si>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</si>
  <si>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</si>
  <si>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</si>
  <si>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</si>
  <si>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</si>
  <si>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</si>
  <si>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</si>
  <si>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</si>
  <si>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</si>
  <si>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</si>
  <si>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</si>
  <si>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</si>
  <si>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</si>
  <si>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</si>
  <si>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</si>
  <si>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</si>
  <si>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</si>
  <si>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</si>
  <si>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</si>
  <si>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</si>
  <si>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</si>
  <si>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</si>
  <si>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</si>
  <si>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</si>
  <si>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</si>
  <si>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</si>
  <si>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</si>
  <si>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</si>
  <si>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</si>
  <si>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</si>
  <si>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</si>
  <si>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</si>
  <si>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</si>
  <si>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</si>
  <si>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</si>
  <si>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</si>
  <si>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</si>
  <si>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</si>
  <si>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</si>
  <si>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</si>
  <si>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</si>
  <si>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</si>
  <si>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</si>
  <si>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</si>
  <si>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</si>
  <si>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</si>
  <si>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</si>
  <si>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</si>
  <si>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</si>
  <si>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</si>
  <si>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</si>
  <si>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</si>
  <si>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</si>
  <si>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</si>
  <si>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</si>
  <si>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</si>
  <si>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</si>
  <si>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</si>
  <si>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</si>
  <si>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</si>
  <si>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</si>
  <si>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</si>
  <si>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</si>
  <si>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</si>
  <si>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</si>
  <si>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</si>
  <si>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</si>
  <si>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</si>
  <si>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</si>
  <si>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</si>
  <si>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</si>
  <si>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</si>
  <si>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</si>
  <si>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</si>
  <si>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</si>
  <si>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</si>
  <si>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</si>
  <si>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</si>
  <si>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</si>
  <si>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</si>
  <si>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</si>
  <si>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</si>
  <si>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</si>
  <si>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</si>
  <si>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</si>
  <si>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</si>
  <si>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</si>
  <si>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</si>
  <si>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</si>
  <si>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</si>
  <si>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</si>
  <si>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</si>
  <si>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</si>
  <si>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</si>
  <si>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</si>
  <si>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</si>
  <si>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</si>
  <si>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</si>
  <si>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</si>
  <si>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</si>
  <si>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</si>
  <si>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</si>
  <si>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</si>
  <si>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</si>
  <si>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</si>
  <si>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</si>
  <si>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</si>
  <si>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</si>
  <si>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</si>
  <si>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</si>
  <si>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</si>
  <si>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</si>
  <si>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</si>
  <si>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</si>
  <si>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</si>
  <si>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</si>
  <si>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</si>
  <si>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</si>
  <si>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</si>
  <si>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</si>
  <si>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</si>
  <si>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Geoffroy Seveno</t>
  </si>
  <si>
    <t xml:space="preserve">REAL COLLOBRIER</t>
  </si>
  <si>
    <t xml:space="preserve">REAL COLLOBRIER A COLLOBRIERES</t>
  </si>
  <si>
    <t xml:space="preserve">06200700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</si>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</sst>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42551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10.3125</v>
      </c>
      <c r="N5" s="324"/>
      <c r="O5" s="325" t="s">
        <v>151</v>
      </c>
      <c r="P5" s="326" t="n">
        <v>9.975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5</v>
      </c>
      <c r="C7" s="342" t="n">
        <v>95</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10.1</v>
      </c>
      <c r="P8" s="356" t="n">
        <f aca="false">IF(ISERROR(AVERAGE(K23:K82)),"  ",AVERAGE(K23:K82))</f>
        <v>1.4</v>
      </c>
      <c r="Q8" s="357"/>
      <c r="R8" s="281"/>
      <c r="S8" s="281"/>
      <c r="T8" s="281"/>
      <c r="U8" s="281"/>
      <c r="V8" s="281"/>
      <c r="W8" s="295"/>
      <c r="X8" s="0"/>
      <c r="Y8" s="0"/>
      <c r="Z8" s="0"/>
    </row>
    <row r="9" customFormat="false" ht="12.75" hidden="false" customHeight="false" outlineLevel="0" collapsed="false">
      <c r="A9" s="314" t="s">
        <v>3400</v>
      </c>
      <c r="B9" s="358" t="n">
        <v>30</v>
      </c>
      <c r="C9" s="359" t="n">
        <v>40</v>
      </c>
      <c r="D9" s="360"/>
      <c r="E9" s="360"/>
      <c r="F9" s="361" t="n">
        <f aca="false">($B9*$B$7+$C9*$C$7)/100</f>
        <v>39.5</v>
      </c>
      <c r="G9" s="362"/>
      <c r="H9" s="317"/>
      <c r="I9" s="281"/>
      <c r="J9" s="363"/>
      <c r="K9" s="364"/>
      <c r="L9" s="347"/>
      <c r="M9" s="365"/>
      <c r="N9" s="355" t="s">
        <v>3401</v>
      </c>
      <c r="O9" s="356" t="n">
        <f aca="false">IF(ISERROR(STDEVP(J23:J82))," ",STDEVP(J23:J82))</f>
        <v>2.38537208837531</v>
      </c>
      <c r="P9" s="356" t="n">
        <f aca="false">IF(ISERROR(STDEVP(K23:K82)),"  ",STDEVP(K23:K82))</f>
        <v>0.489897948556636</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10</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27</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14</v>
      </c>
      <c r="M15" s="381"/>
      <c r="N15" s="389" t="s">
        <v>3419</v>
      </c>
      <c r="O15" s="390" t="n">
        <f aca="false">COUNTIF(K23:K82,"=1")</f>
        <v>12</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0.740740740740741</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28.3</v>
      </c>
      <c r="C20" s="433" t="n">
        <f aca="false">SUM(C23:C82)</f>
        <v>63.293</v>
      </c>
      <c r="D20" s="434"/>
      <c r="E20" s="435" t="s">
        <v>3426</v>
      </c>
      <c r="F20" s="436" t="n">
        <f aca="false">($B20*$B$7+$C20*$C$7)/100</f>
        <v>61.54335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1.415</v>
      </c>
      <c r="C21" s="444" t="n">
        <f aca="false">C20*C7/100</f>
        <v>60.12835</v>
      </c>
      <c r="D21" s="445" t="s">
        <v>3429</v>
      </c>
      <c r="E21" s="446"/>
      <c r="F21" s="447" t="n">
        <f aca="false">B21+C21</f>
        <v>61.54335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0.00025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0.00025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0.01</v>
      </c>
      <c r="C24" s="491" t="n">
        <v>20</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19.0005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19.0005</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0.15</v>
      </c>
      <c r="C25" s="491" t="n">
        <v>15</v>
      </c>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14.2575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14.2575</v>
      </c>
      <c r="S25" s="485" t="n">
        <f aca="false">IF(OR(ISTEXT(H25),R25=0),"",IF(R25&lt;0.1,1,IF(R25&lt;1,2,IF(R25&lt;10,3,IF(R25&lt;50,4,IF(R25&gt;=50,5,""))))))</f>
        <v>4</v>
      </c>
      <c r="T25" s="485" t="n">
        <f aca="false">IF(ISERROR(S25*J25),0,S25*J25)</f>
        <v>48</v>
      </c>
      <c r="U25" s="485" t="n">
        <f aca="false">IF(ISERROR(S25*J25*K25),0,S25*J25*K25)</f>
        <v>96</v>
      </c>
      <c r="V25" s="501" t="n">
        <f aca="false">IF(ISERROR(S25*K25),0,S25*K25)</f>
        <v>8</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228</v>
      </c>
      <c r="B26" s="490" t="n">
        <v>0.1</v>
      </c>
      <c r="C26" s="491" t="n">
        <v>10</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9.505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9.505</v>
      </c>
      <c r="S26" s="485" t="n">
        <f aca="false">IF(OR(ISTEXT(H26),R26=0),"",IF(R26&lt;0.1,1,IF(R26&lt;1,2,IF(R26&lt;10,3,IF(R26&lt;50,4,IF(R26&gt;=50,5,""))))))</f>
        <v>3</v>
      </c>
      <c r="T26" s="485" t="n">
        <f aca="false">IF(ISERROR(S26*J26),0,S26*J26)</f>
        <v>30</v>
      </c>
      <c r="U26" s="485" t="n">
        <f aca="false">IF(ISERROR(S26*J26*K26),0,S26*J26*K26)</f>
        <v>30</v>
      </c>
      <c r="V26" s="501" t="n">
        <f aca="false">IF(ISERROR(S26*K26),0,S26*K26)</f>
        <v>3</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244</v>
      </c>
      <c r="B27" s="490" t="n">
        <v>0.005</v>
      </c>
      <c r="C27" s="491" t="n">
        <v>0.2</v>
      </c>
      <c r="D27" s="492" t="str">
        <f aca="false">IF(ISERROR(VLOOKUP($A27,'liste reference'!$A$6:$B$1174,2,0)),IF(ISERROR(VLOOKUP($A27,'liste reference'!$B$6:$B$1174,1,0)),"",VLOOKUP($A27,'liste reference'!$B$6:$B$1174,1,0)),VLOOKUP($A27,'liste reference'!$A$6:$B$1174,2,0))</f>
        <v>Mougeotia sp.</v>
      </c>
      <c r="E27" s="493" t="e">
        <f aca="false">IF(D27="",0,VLOOKUP(D27,D$22:D26,1,0))</f>
        <v>#N/A</v>
      </c>
      <c r="F27" s="494" t="n">
        <f aca="false">IF(AND(OR(A27="",A27="!!!!!!"),B27="",C27=""),"",IF(OR(AND(B27="",C27=""),ISERROR(C27+B27)),"!!!",($B27*$B$7+$C27*$C$7)/100))</f>
        <v>0.19025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1146</v>
      </c>
      <c r="R27" s="484" t="n">
        <f aca="false">IF(ISTEXT(H27),"",(B27*$B$7/100)+(C27*$C$7/100))</f>
        <v>0.19025</v>
      </c>
      <c r="S27" s="485" t="n">
        <f aca="false">IF(OR(ISTEXT(H27),R27=0),"",IF(R27&lt;0.1,1,IF(R27&lt;1,2,IF(R27&lt;10,3,IF(R27&lt;50,4,IF(R27&gt;=50,5,""))))))</f>
        <v>2</v>
      </c>
      <c r="T27" s="485" t="n">
        <f aca="false">IF(ISERROR(S27*J27),0,S27*J27)</f>
        <v>26</v>
      </c>
      <c r="U27" s="485" t="n">
        <f aca="false">IF(ISERROR(S27*J27*K27),0,S27*J27*K27)</f>
        <v>52</v>
      </c>
      <c r="V27" s="501" t="n">
        <f aca="false">IF(ISERROR(S27*K27),0,S27*K27)</f>
        <v>4</v>
      </c>
      <c r="W27" s="502"/>
      <c r="X27" s="503"/>
      <c r="Y27" s="488" t="str">
        <f aca="false">IF(AND(ISNUMBER(F27),OR(A27="",A27="!!!!!!")),"!!!!!!",IF(A27="new.cod","NEWCOD",IF(AND((Z27=""),ISTEXT(A27),A27&lt;&gt;"!!!!!!"),A27,IF(Z27="","",INDEX('liste reference'!$A$6:$A$1174,Z27)))))</f>
        <v>MOUSPX</v>
      </c>
      <c r="Z27" s="470" t="n">
        <f aca="false">IF(ISERROR(MATCH(A27,'liste reference'!$A$6:$A$1174,0)),IF(ISERROR(MATCH(A27,'liste reference'!$B$6:$B$1174,0)),"",(MATCH(A27,'liste reference'!$B$6:$B$1174,0))),(MATCH(A27,'liste reference'!$A$6:$A$1174,0)))</f>
        <v>68</v>
      </c>
    </row>
    <row r="28" customFormat="false" ht="12.75" hidden="false" customHeight="false" outlineLevel="0" collapsed="false">
      <c r="A28" s="489" t="s">
        <v>306</v>
      </c>
      <c r="B28" s="490" t="n">
        <v>0.005</v>
      </c>
      <c r="C28" s="491"/>
      <c r="D28" s="492" t="str">
        <f aca="false">IF(ISERROR(VLOOKUP($A28,'liste reference'!$A$6:$B$1174,2,0)),IF(ISERROR(VLOOKUP($A28,'liste reference'!$B$6:$B$1174,1,0)),"",VLOOKUP($A28,'liste reference'!$B$6:$B$1174,1,0)),VLOOKUP($A28,'liste reference'!$A$6:$B$1174,2,0))</f>
        <v>Paralemanea sp.</v>
      </c>
      <c r="E28" s="493" t="e">
        <f aca="false">IF(D28="",0,VLOOKUP(D28,D$22:D27,1,0))</f>
        <v>#N/A</v>
      </c>
      <c r="F28" s="494" t="n">
        <f aca="false">IF(AND(OR(A28="",A28="!!!!!!"),B28="",C28=""),"",IF(OR(AND(B28="",C28=""),ISERROR(C28+B28)),"!!!",($B28*$B$7+$C28*$C$7)/100))</f>
        <v>0.00025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Paralemanea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31566</v>
      </c>
      <c r="R28" s="484" t="n">
        <f aca="false">IF(ISTEXT(H28),"",(B28*$B$7/100)+(C28*$C$7/100))</f>
        <v>0.00025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PAASPX</v>
      </c>
      <c r="Z28" s="470" t="n">
        <f aca="false">IF(ISERROR(MATCH(A28,'liste reference'!$A$6:$A$1174,0)),IF(ISERROR(MATCH(A28,'liste reference'!$B$6:$B$1174,0)),"",(MATCH(A28,'liste reference'!$B$6:$B$1174,0))),(MATCH(A28,'liste reference'!$A$6:$A$1174,0)))</f>
        <v>87</v>
      </c>
    </row>
    <row r="29" customFormat="false" ht="12.75" hidden="false" customHeight="false" outlineLevel="0" collapsed="false">
      <c r="A29" s="489" t="s">
        <v>309</v>
      </c>
      <c r="B29" s="490" t="n">
        <v>0.01</v>
      </c>
      <c r="C29" s="491"/>
      <c r="D29" s="492" t="str">
        <f aca="false">IF(ISERROR(VLOOKUP($A29,'liste reference'!$A$6:$B$1174,2,0)),IF(ISERROR(VLOOKUP($A29,'liste reference'!$B$6:$B$1174,1,0)),"",VLOOKUP($A29,'liste reference'!$B$6:$B$1174,1,0)),VLOOKUP($A29,'liste reference'!$A$6:$B$1174,2,0))</f>
        <v>Phormidium sp.</v>
      </c>
      <c r="E29" s="493" t="e">
        <f aca="false">IF(D29="",0,VLOOKUP(D29,D$22:D28,1,0))</f>
        <v>#N/A</v>
      </c>
      <c r="F29" s="494" t="n">
        <f aca="false">IF(AND(OR(A29="",A29="!!!!!!"),B29="",C29=""),"",IF(OR(AND(B29="",C29=""),ISERROR(C29+B29)),"!!!",($B29*$B$7+$C29*$C$7)/100))</f>
        <v>0.0005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6414</v>
      </c>
      <c r="R29" s="484" t="n">
        <f aca="false">IF(ISTEXT(H29),"",(B29*$B$7/100)+(C29*$C$7/100))</f>
        <v>0.0005</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PHOSPX</v>
      </c>
      <c r="Z29" s="470" t="n">
        <f aca="false">IF(ISERROR(MATCH(A29,'liste reference'!$A$6:$A$1174,0)),IF(ISERROR(MATCH(A29,'liste reference'!$B$6:$B$1174,0)),"",(MATCH(A29,'liste reference'!$B$6:$B$1174,0))),(MATCH(A29,'liste reference'!$A$6:$A$1174,0)))</f>
        <v>88</v>
      </c>
    </row>
    <row r="30" customFormat="false" ht="12.75" hidden="false" customHeight="false" outlineLevel="0" collapsed="false">
      <c r="A30" s="489" t="s">
        <v>343</v>
      </c>
      <c r="B30" s="490"/>
      <c r="C30" s="491" t="n">
        <v>0.008</v>
      </c>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0.0076</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0.0076</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348</v>
      </c>
      <c r="B31" s="490" t="n">
        <v>0.005</v>
      </c>
      <c r="C31" s="491"/>
      <c r="D31" s="492" t="str">
        <f aca="false">IF(ISERROR(VLOOKUP($A31,'liste reference'!$A$6:$B$1174,2,0)),IF(ISERROR(VLOOKUP($A31,'liste reference'!$B$6:$B$1174,1,0)),"",VLOOKUP($A31,'liste reference'!$B$6:$B$1174,1,0)),VLOOKUP($A31,'liste reference'!$A$6:$B$1174,2,0))</f>
        <v>Stigeoclonium sp. (excep. S. tenue)</v>
      </c>
      <c r="E31" s="493" t="e">
        <f aca="false">IF(D31="",0,VLOOKUP(D31,D$22:D30,1,0))</f>
        <v>#N/A</v>
      </c>
      <c r="F31" s="494" t="n">
        <f aca="false">IF(AND(OR(A31="",A31="!!!!!!"),B31="",C31=""),"",IF(OR(AND(B31="",C31=""),ISERROR(C31+B31)),"!!!",($B31*$B$7+$C31*$C$7)/100))</f>
        <v>0.00025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Stigeoclonium sp. (excep. S. tenue)</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1119</v>
      </c>
      <c r="R31" s="484" t="n">
        <f aca="false">IF(ISTEXT(H31),"",(B31*$B$7/100)+(C31*$C$7/100))</f>
        <v>0.00025</v>
      </c>
      <c r="S31" s="485" t="n">
        <f aca="false">IF(OR(ISTEXT(H31),R31=0),"",IF(R31&lt;0.1,1,IF(R31&lt;1,2,IF(R31&lt;10,3,IF(R31&lt;50,4,IF(R31&gt;=50,5,""))))))</f>
        <v>1</v>
      </c>
      <c r="T31" s="485" t="n">
        <f aca="false">IF(ISERROR(S31*J31),0,S31*J31)</f>
        <v>13</v>
      </c>
      <c r="U31" s="485" t="n">
        <f aca="false">IF(ISERROR(S31*J31*K31),0,S31*J31*K31)</f>
        <v>26</v>
      </c>
      <c r="V31" s="501" t="n">
        <f aca="false">IF(ISERROR(S31*K31),0,S31*K31)</f>
        <v>2</v>
      </c>
      <c r="W31" s="502"/>
      <c r="X31" s="503"/>
      <c r="Y31" s="488" t="str">
        <f aca="false">IF(AND(ISNUMBER(F31),OR(A31="",A31="!!!!!!")),"!!!!!!",IF(A31="new.cod","NEWCOD",IF(AND((Z31=""),ISTEXT(A31),A31&lt;&gt;"!!!!!!"),A31,IF(Z31="","",INDEX('liste reference'!$A$6:$A$1174,Z31)))))</f>
        <v>STISPX</v>
      </c>
      <c r="Z31" s="470" t="n">
        <f aca="false">IF(ISERROR(MATCH(A31,'liste reference'!$A$6:$A$1174,0)),IF(ISERROR(MATCH(A31,'liste reference'!$B$6:$B$1174,0)),"",(MATCH(A31,'liste reference'!$B$6:$B$1174,0))),(MATCH(A31,'liste reference'!$A$6:$A$1174,0)))</f>
        <v>104</v>
      </c>
    </row>
    <row r="32" customFormat="false" ht="12.75" hidden="false" customHeight="false" outlineLevel="0" collapsed="false">
      <c r="A32" s="489" t="s">
        <v>395</v>
      </c>
      <c r="B32" s="490"/>
      <c r="C32" s="491" t="n">
        <v>0.005</v>
      </c>
      <c r="D32" s="492" t="str">
        <f aca="false">IF(ISERROR(VLOOKUP($A32,'liste reference'!$A$6:$B$1174,2,0)),IF(ISERROR(VLOOKUP($A32,'liste reference'!$B$6:$B$1174,1,0)),"",VLOOKUP($A32,'liste reference'!$B$6:$B$1174,1,0)),VLOOKUP($A32,'liste reference'!$A$6:$B$1174,2,0))</f>
        <v>Vaucheria sp.</v>
      </c>
      <c r="E32" s="493" t="e">
        <f aca="false">IF(D32="",0,VLOOKUP(D32,D$22:D31,1,0))</f>
        <v>#N/A</v>
      </c>
      <c r="F32" s="494" t="n">
        <f aca="false">IF(AND(OR(A32="",A32="!!!!!!"),B32="",C32=""),"",IF(OR(AND(B32="",C32=""),ISERROR(C32+B32)),"!!!",($B32*$B$7+$C32*$C$7)/100))</f>
        <v>0.00475</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1169</v>
      </c>
      <c r="R32" s="484" t="n">
        <f aca="false">IF(ISTEXT(H32),"",(B32*$B$7/100)+(C32*$C$7/100))</f>
        <v>0.00475</v>
      </c>
      <c r="S32" s="485" t="n">
        <f aca="false">IF(OR(ISTEXT(H32),R32=0),"",IF(R32&lt;0.1,1,IF(R32&lt;1,2,IF(R32&lt;10,3,IF(R32&lt;50,4,IF(R32&gt;=50,5,""))))))</f>
        <v>1</v>
      </c>
      <c r="T32" s="485" t="n">
        <f aca="false">IF(ISERROR(S32*J32),0,S32*J32)</f>
        <v>4</v>
      </c>
      <c r="U32" s="485" t="n">
        <f aca="false">IF(ISERROR(S32*J32*K32),0,S32*J32*K32)</f>
        <v>4</v>
      </c>
      <c r="V32" s="501" t="n">
        <f aca="false">IF(ISERROR(S32*K32),0,S32*K32)</f>
        <v>1</v>
      </c>
      <c r="W32" s="502"/>
      <c r="X32" s="503"/>
      <c r="Y32" s="488" t="str">
        <f aca="false">IF(AND(ISNUMBER(F32),OR(A32="",A32="!!!!!!")),"!!!!!!",IF(A32="new.cod","NEWCOD",IF(AND((Z32=""),ISTEXT(A32),A32&lt;&gt;"!!!!!!"),A32,IF(Z32="","",INDEX('liste reference'!$A$6:$A$1174,Z32)))))</f>
        <v>VAUSPX</v>
      </c>
      <c r="Z32" s="470" t="n">
        <f aca="false">IF(ISERROR(MATCH(A32,'liste reference'!$A$6:$A$1174,0)),IF(ISERROR(MATCH(A32,'liste reference'!$B$6:$B$1174,0)),"",(MATCH(A32,'liste reference'!$B$6:$B$1174,0))),(MATCH(A32,'liste reference'!$A$6:$A$1174,0)))</f>
        <v>118</v>
      </c>
    </row>
    <row r="33" customFormat="false" ht="12.75" hidden="false" customHeight="false" outlineLevel="0" collapsed="false">
      <c r="A33" s="489" t="s">
        <v>889</v>
      </c>
      <c r="B33" s="490" t="n">
        <v>0.005</v>
      </c>
      <c r="C33" s="491"/>
      <c r="D33" s="492" t="str">
        <f aca="false">IF(ISERROR(VLOOKUP($A33,'liste reference'!$A$6:$B$1174,2,0)),IF(ISERROR(VLOOKUP($A33,'liste reference'!$B$6:$B$1174,1,0)),"",VLOOKUP($A33,'liste reference'!$B$6:$B$1174,1,0)),VLOOKUP($A33,'liste reference'!$A$6:$B$1174,2,0))</f>
        <v>Fontinalis antipyretica</v>
      </c>
      <c r="E33" s="493" t="e">
        <f aca="false">IF(D33="",0,VLOOKUP(D33,D$22:D32,1,0))</f>
        <v>#N/A</v>
      </c>
      <c r="F33" s="494" t="n">
        <f aca="false">IF(AND(OR(A33="",A33="!!!!!!"),B33="",C33=""),"",IF(OR(AND(B33="",C33=""),ISERROR(C33+B33)),"!!!",($B33*$B$7+$C33*$C$7)/100))</f>
        <v>0.00025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1310</v>
      </c>
      <c r="R33" s="484" t="n">
        <f aca="false">IF(ISTEXT(H33),"",(B33*$B$7/100)+(C33*$C$7/100))</f>
        <v>0.00025</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FONANT</v>
      </c>
      <c r="Z33" s="470" t="n">
        <f aca="false">IF(ISERROR(MATCH(A33,'liste reference'!$A$6:$A$1174,0)),IF(ISERROR(MATCH(A33,'liste reference'!$B$6:$B$1174,0)),"",(MATCH(A33,'liste reference'!$B$6:$B$1174,0))),(MATCH(A33,'liste reference'!$A$6:$A$1174,0)))</f>
        <v>273</v>
      </c>
    </row>
    <row r="34" customFormat="false" ht="12.75" hidden="false" customHeight="false" outlineLevel="0" collapsed="false">
      <c r="A34" s="489" t="s">
        <v>1122</v>
      </c>
      <c r="B34" s="490" t="n">
        <v>0.005</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0.00025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0.00025</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t="s">
        <v>1255</v>
      </c>
      <c r="B35" s="490"/>
      <c r="C35" s="491" t="n">
        <v>0.005</v>
      </c>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0.00475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0.00475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1328</v>
      </c>
      <c r="B36" s="490"/>
      <c r="C36" s="491" t="n">
        <v>0.1</v>
      </c>
      <c r="D36" s="492" t="str">
        <f aca="false">IF(ISERROR(VLOOKUP($A36,'liste reference'!$A$6:$B$1174,2,0)),IF(ISERROR(VLOOKUP($A36,'liste reference'!$B$6:$B$1174,1,0)),"",VLOOKUP($A36,'liste reference'!$B$6:$B$1174,1,0)),VLOOKUP($A36,'liste reference'!$A$6:$B$1174,2,0))</f>
        <v>Alisma lanceolatum</v>
      </c>
      <c r="E36" s="493" t="e">
        <f aca="false">IF(D36="",0,VLOOKUP(D36,D$22:D35,1,0))</f>
        <v>#N/A</v>
      </c>
      <c r="F36" s="494" t="n">
        <f aca="false">IF(AND(OR(A36="",A36="!!!!!!"),B36="",C36=""),"",IF(OR(AND(B36="",C36=""),ISERROR(C36+B36)),"!!!",($B36*$B$7+$C36*$C$7)/100))</f>
        <v>0.095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9</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Alisma lanceolatum</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1446</v>
      </c>
      <c r="R36" s="484" t="n">
        <f aca="false">IF(ISTEXT(H36),"",(B36*$B$7/100)+(C36*$C$7/100))</f>
        <v>0.095</v>
      </c>
      <c r="S36" s="485" t="n">
        <f aca="false">IF(OR(ISTEXT(H36),R36=0),"",IF(R36&lt;0.1,1,IF(R36&lt;1,2,IF(R36&lt;10,3,IF(R36&lt;50,4,IF(R36&gt;=50,5,""))))))</f>
        <v>1</v>
      </c>
      <c r="T36" s="485" t="n">
        <f aca="false">IF(ISERROR(S36*J36),0,S36*J36)</f>
        <v>9</v>
      </c>
      <c r="U36" s="485" t="n">
        <f aca="false">IF(ISERROR(S36*J36*K36),0,S36*J36*K36)</f>
        <v>18</v>
      </c>
      <c r="V36" s="501" t="n">
        <f aca="false">IF(ISERROR(S36*K36),0,S36*K36)</f>
        <v>2</v>
      </c>
      <c r="W36" s="502"/>
      <c r="X36" s="503"/>
      <c r="Y36" s="488" t="str">
        <f aca="false">IF(AND(ISNUMBER(F36),OR(A36="",A36="!!!!!!")),"!!!!!!",IF(A36="new.cod","NEWCOD",IF(AND((Z36=""),ISTEXT(A36),A36&lt;&gt;"!!!!!!"),A36,IF(Z36="","",INDEX('liste reference'!$A$6:$A$1174,Z36)))))</f>
        <v>ALILAN</v>
      </c>
      <c r="Z36" s="470" t="n">
        <f aca="false">IF(ISERROR(MATCH(A36,'liste reference'!$A$6:$A$1174,0)),IF(ISERROR(MATCH(A36,'liste reference'!$B$6:$B$1174,0)),"",(MATCH(A36,'liste reference'!$B$6:$B$1174,0))),(MATCH(A36,'liste reference'!$A$6:$A$1174,0)))</f>
        <v>414</v>
      </c>
    </row>
    <row r="37" customFormat="false" ht="12.75" hidden="false" customHeight="false" outlineLevel="0" collapsed="false">
      <c r="A37" s="489" t="s">
        <v>1333</v>
      </c>
      <c r="B37" s="490"/>
      <c r="C37" s="491" t="n">
        <v>0.005</v>
      </c>
      <c r="D37" s="492" t="str">
        <f aca="false">IF(ISERROR(VLOOKUP($A37,'liste reference'!$A$6:$B$1174,2,0)),IF(ISERROR(VLOOKUP($A37,'liste reference'!$B$6:$B$1174,1,0)),"",VLOOKUP($A37,'liste reference'!$B$6:$B$1174,1,0)),VLOOKUP($A37,'liste reference'!$A$6:$B$1174,2,0))</f>
        <v>Alisma plantago-aquatica</v>
      </c>
      <c r="E37" s="493" t="e">
        <f aca="false">IF(D37="",0,VLOOKUP(D37,D$22:D36,1,0))</f>
        <v>#N/A</v>
      </c>
      <c r="F37" s="494" t="n">
        <f aca="false">IF(AND(OR(A37="",A37="!!!!!!"),B37="",C37=""),"",IF(OR(AND(B37="",C37=""),ISERROR(C37+B37)),"!!!",($B37*$B$7+$C37*$C$7)/100))</f>
        <v>0.00475</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8</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Alisma plantago-aquatica</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1447</v>
      </c>
      <c r="R37" s="484" t="n">
        <f aca="false">IF(ISTEXT(H37),"",(B37*$B$7/100)+(C37*$C$7/100))</f>
        <v>0.00475</v>
      </c>
      <c r="S37" s="485" t="n">
        <f aca="false">IF(OR(ISTEXT(H37),R37=0),"",IF(R37&lt;0.1,1,IF(R37&lt;1,2,IF(R37&lt;10,3,IF(R37&lt;50,4,IF(R37&gt;=50,5,""))))))</f>
        <v>1</v>
      </c>
      <c r="T37" s="485" t="n">
        <f aca="false">IF(ISERROR(S37*J37),0,S37*J37)</f>
        <v>8</v>
      </c>
      <c r="U37" s="485" t="n">
        <f aca="false">IF(ISERROR(S37*J37*K37),0,S37*J37*K37)</f>
        <v>16</v>
      </c>
      <c r="V37" s="501" t="n">
        <f aca="false">IF(ISERROR(S37*K37),0,S37*K37)</f>
        <v>2</v>
      </c>
      <c r="W37" s="502"/>
      <c r="X37" s="503"/>
      <c r="Y37" s="488" t="str">
        <f aca="false">IF(AND(ISNUMBER(F37),OR(A37="",A37="!!!!!!")),"!!!!!!",IF(A37="new.cod","NEWCOD",IF(AND((Z37=""),ISTEXT(A37),A37&lt;&gt;"!!!!!!"),A37,IF(Z37="","",INDEX('liste reference'!$A$6:$A$1174,Z37)))))</f>
        <v>ALIPLA</v>
      </c>
      <c r="Z37" s="470" t="n">
        <f aca="false">IF(ISERROR(MATCH(A37,'liste reference'!$A$6:$A$1174,0)),IF(ISERROR(MATCH(A37,'liste reference'!$B$6:$B$1174,0)),"",(MATCH(A37,'liste reference'!$B$6:$B$1174,0))),(MATCH(A37,'liste reference'!$A$6:$A$1174,0)))</f>
        <v>415</v>
      </c>
    </row>
    <row r="38" customFormat="false" ht="12.75" hidden="false" customHeight="false" outlineLevel="0" collapsed="false">
      <c r="A38" s="489" t="s">
        <v>1483</v>
      </c>
      <c r="B38" s="490" t="n">
        <v>1</v>
      </c>
      <c r="C38" s="491" t="n">
        <v>1</v>
      </c>
      <c r="D38" s="492" t="str">
        <f aca="false">IF(ISERROR(VLOOKUP($A38,'liste reference'!$A$6:$B$1174,2,0)),IF(ISERROR(VLOOKUP($A38,'liste reference'!$B$6:$B$1174,1,0)),"",VLOOKUP($A38,'liste reference'!$B$6:$B$1174,1,0)),VLOOKUP($A38,'liste reference'!$A$6:$B$1174,2,0))</f>
        <v>Helosciadium nodiflorum </v>
      </c>
      <c r="E38" s="493" t="e">
        <f aca="false">IF(D38="",0,VLOOKUP(D38,D$22:D37,1,0))</f>
        <v>#N/A</v>
      </c>
      <c r="F38" s="494" t="n">
        <f aca="false">IF(AND(OR(A38="",A38="!!!!!!"),B38="",C38=""),"",IF(OR(AND(B38="",C38=""),ISERROR(C38+B38)),"!!!",($B38*$B$7+$C38*$C$7)/100))</f>
        <v>1</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Helosciadium nodiflorum </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30053</v>
      </c>
      <c r="R38" s="484" t="n">
        <f aca="false">IF(ISTEXT(H38),"",(B38*$B$7/100)+(C38*$C$7/100))</f>
        <v>1</v>
      </c>
      <c r="S38" s="485" t="n">
        <f aca="false">IF(OR(ISTEXT(H38),R38=0),"",IF(R38&lt;0.1,1,IF(R38&lt;1,2,IF(R38&lt;10,3,IF(R38&lt;50,4,IF(R38&gt;=50,5,""))))))</f>
        <v>3</v>
      </c>
      <c r="T38" s="485" t="n">
        <f aca="false">IF(ISERROR(S38*J38),0,S38*J38)</f>
        <v>30</v>
      </c>
      <c r="U38" s="485" t="n">
        <f aca="false">IF(ISERROR(S38*J38*K38),0,S38*J38*K38)</f>
        <v>30</v>
      </c>
      <c r="V38" s="501" t="n">
        <f aca="false">IF(ISERROR(S38*K38),0,S38*K38)</f>
        <v>3</v>
      </c>
      <c r="W38" s="502"/>
      <c r="X38" s="503"/>
      <c r="Y38" s="488" t="str">
        <f aca="false">IF(AND(ISNUMBER(F38),OR(A38="",A38="!!!!!!")),"!!!!!!",IF(A38="new.cod","NEWCOD",IF(AND((Z38=""),ISTEXT(A38),A38&lt;&gt;"!!!!!!"),A38,IF(Z38="","",INDEX('liste reference'!$A$6:$A$1174,Z38)))))</f>
        <v>HELNOD</v>
      </c>
      <c r="Z38" s="470" t="n">
        <f aca="false">IF(ISERROR(MATCH(A38,'liste reference'!$A$6:$A$1174,0)),IF(ISERROR(MATCH(A38,'liste reference'!$B$6:$B$1174,0)),"",(MATCH(A38,'liste reference'!$B$6:$B$1174,0))),(MATCH(A38,'liste reference'!$A$6:$A$1174,0)))</f>
        <v>460</v>
      </c>
    </row>
    <row r="39" customFormat="false" ht="12.75" hidden="false" customHeight="false" outlineLevel="0" collapsed="false">
      <c r="A39" s="489" t="s">
        <v>1932</v>
      </c>
      <c r="B39" s="490" t="n">
        <v>1</v>
      </c>
      <c r="C39" s="491" t="n">
        <v>0.6</v>
      </c>
      <c r="D39" s="492" t="str">
        <f aca="false">IF(ISERROR(VLOOKUP($A39,'liste reference'!$A$6:$B$1174,2,0)),IF(ISERROR(VLOOKUP($A39,'liste reference'!$B$6:$B$1174,1,0)),"",VLOOKUP($A39,'liste reference'!$B$6:$B$1174,1,0)),VLOOKUP($A39,'liste reference'!$A$6:$B$1174,2,0))</f>
        <v>Agrostis stolonifera</v>
      </c>
      <c r="E39" s="493" t="e">
        <f aca="false">IF(D39="",0,VLOOKUP(D39,D$22:D38,1,0))</f>
        <v>#N/A</v>
      </c>
      <c r="F39" s="494" t="n">
        <f aca="false">IF(AND(OR(A39="",A39="!!!!!!"),B39="",C39=""),"",IF(OR(AND(B39="",C39=""),ISERROR(C39+B39)),"!!!",($B39*$B$7+$C39*$C$7)/100))</f>
        <v>0.62</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1543</v>
      </c>
      <c r="R39" s="484" t="n">
        <f aca="false">IF(ISTEXT(H39),"",(B39*$B$7/100)+(C39*$C$7/100))</f>
        <v>0.62</v>
      </c>
      <c r="S39" s="485" t="n">
        <f aca="false">IF(OR(ISTEXT(H39),R39=0),"",IF(R39&lt;0.1,1,IF(R39&lt;1,2,IF(R39&lt;10,3,IF(R39&lt;50,4,IF(R39&gt;=50,5,""))))))</f>
        <v>2</v>
      </c>
      <c r="T39" s="485" t="n">
        <f aca="false">IF(ISERROR(S39*J39),0,S39*J39)</f>
        <v>20</v>
      </c>
      <c r="U39" s="485" t="n">
        <f aca="false">IF(ISERROR(S39*J39*K39),0,S39*J39*K39)</f>
        <v>20</v>
      </c>
      <c r="V39" s="501" t="n">
        <f aca="false">IF(ISERROR(S39*K39),0,S39*K39)</f>
        <v>2</v>
      </c>
      <c r="W39" s="502"/>
      <c r="X39" s="503"/>
      <c r="Y39" s="488" t="str">
        <f aca="false">IF(AND(ISNUMBER(F39),OR(A39="",A39="!!!!!!")),"!!!!!!",IF(A39="new.cod","NEWCOD",IF(AND((Z39=""),ISTEXT(A39),A39&lt;&gt;"!!!!!!"),A39,IF(Z39="","",INDEX('liste reference'!$A$6:$A$1174,Z39)))))</f>
        <v>AGRSTO</v>
      </c>
      <c r="Z39" s="470" t="n">
        <f aca="false">IF(ISERROR(MATCH(A39,'liste reference'!$A$6:$A$1174,0)),IF(ISERROR(MATCH(A39,'liste reference'!$B$6:$B$1174,0)),"",(MATCH(A39,'liste reference'!$B$6:$B$1174,0))),(MATCH(A39,'liste reference'!$A$6:$A$1174,0)))</f>
        <v>623</v>
      </c>
    </row>
    <row r="40" customFormat="false" ht="12.75" hidden="false" customHeight="false" outlineLevel="0" collapsed="false">
      <c r="A40" s="489" t="s">
        <v>2132</v>
      </c>
      <c r="B40" s="490"/>
      <c r="C40" s="491" t="n">
        <v>0.005</v>
      </c>
      <c r="D40" s="492" t="str">
        <f aca="false">IF(ISERROR(VLOOKUP($A40,'liste reference'!$A$6:$B$1174,2,0)),IF(ISERROR(VLOOKUP($A40,'liste reference'!$B$6:$B$1174,1,0)),"",VLOOKUP($A40,'liste reference'!$B$6:$B$1174,1,0)),VLOOKUP($A40,'liste reference'!$A$6:$B$1174,2,0))</f>
        <v>Lycopus europaeus</v>
      </c>
      <c r="E40" s="493" t="e">
        <f aca="false">IF(D40="",0,VLOOKUP(D40,D$22:D39,1,0))</f>
        <v>#N/A</v>
      </c>
      <c r="F40" s="494" t="n">
        <f aca="false">IF(AND(OR(A40="",A40="!!!!!!"),B40="",C40=""),"",IF(OR(AND(B40="",C40=""),ISERROR(C40+B40)),"!!!",($B40*$B$7+$C40*$C$7)/100))</f>
        <v>0.00475</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Lycopus europaeus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1789</v>
      </c>
      <c r="R40" s="484" t="n">
        <f aca="false">IF(ISTEXT(H40),"",(B40*$B$7/100)+(C40*$C$7/100))</f>
        <v>0.00475</v>
      </c>
      <c r="S40" s="485" t="n">
        <f aca="false">IF(OR(ISTEXT(H40),R40=0),"",IF(R40&lt;0.1,1,IF(R40&lt;1,2,IF(R40&lt;10,3,IF(R40&lt;50,4,IF(R40&gt;=50,5,""))))))</f>
        <v>1</v>
      </c>
      <c r="T40" s="485" t="n">
        <f aca="false">IF(ISERROR(S40*J40),0,S40*J40)</f>
        <v>11</v>
      </c>
      <c r="U40" s="485" t="n">
        <f aca="false">IF(ISERROR(S40*J40*K40),0,S40*J40*K40)</f>
        <v>11</v>
      </c>
      <c r="V40" s="501" t="n">
        <f aca="false">IF(ISERROR(S40*K40),0,S40*K40)</f>
        <v>1</v>
      </c>
      <c r="W40" s="502"/>
      <c r="X40" s="503"/>
      <c r="Y40" s="488" t="str">
        <f aca="false">IF(AND(ISNUMBER(F40),OR(A40="",A40="!!!!!!")),"!!!!!!",IF(A40="new.cod","NEWCOD",IF(AND((Z40=""),ISTEXT(A40),A40&lt;&gt;"!!!!!!"),A40,IF(Z40="","",INDEX('liste reference'!$A$6:$A$1174,Z40)))))</f>
        <v>LYCEUR</v>
      </c>
      <c r="Z40" s="470" t="n">
        <f aca="false">IF(ISERROR(MATCH(A40,'liste reference'!$A$6:$A$1174,0)),IF(ISERROR(MATCH(A40,'liste reference'!$B$6:$B$1174,0)),"",(MATCH(A40,'liste reference'!$B$6:$B$1174,0))),(MATCH(A40,'liste reference'!$A$6:$A$1174,0)))</f>
        <v>692</v>
      </c>
    </row>
    <row r="41" customFormat="false" ht="12.75" hidden="false" customHeight="false" outlineLevel="0" collapsed="false">
      <c r="A41" s="489" t="s">
        <v>2136</v>
      </c>
      <c r="B41" s="490" t="n">
        <v>10</v>
      </c>
      <c r="C41" s="491" t="n">
        <v>0.25</v>
      </c>
      <c r="D41" s="492" t="str">
        <f aca="false">IF(ISERROR(VLOOKUP($A41,'liste reference'!$A$6:$B$1174,2,0)),IF(ISERROR(VLOOKUP($A41,'liste reference'!$B$6:$B$1174,1,0)),"",VLOOKUP($A41,'liste reference'!$B$6:$B$1174,1,0)),VLOOKUP($A41,'liste reference'!$A$6:$B$1174,2,0))</f>
        <v>Mentha aquatica</v>
      </c>
      <c r="E41" s="493" t="e">
        <f aca="false">IF(D41="",0,VLOOKUP(D41,D$22:D40,1,0))</f>
        <v>#N/A</v>
      </c>
      <c r="F41" s="494" t="n">
        <f aca="false">IF(AND(OR(A41="",A41="!!!!!!"),B41="",C41=""),"",IF(OR(AND(B41="",C41=""),ISERROR(C41+B41)),"!!!",($B41*$B$7+$C41*$C$7)/100))</f>
        <v>0.7375</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1791</v>
      </c>
      <c r="R41" s="484" t="n">
        <f aca="false">IF(ISTEXT(H41),"",(B41*$B$7/100)+(C41*$C$7/100))</f>
        <v>0.7375</v>
      </c>
      <c r="S41" s="485" t="n">
        <f aca="false">IF(OR(ISTEXT(H41),R41=0),"",IF(R41&lt;0.1,1,IF(R41&lt;1,2,IF(R41&lt;10,3,IF(R41&lt;50,4,IF(R41&gt;=50,5,""))))))</f>
        <v>2</v>
      </c>
      <c r="T41" s="485" t="n">
        <f aca="false">IF(ISERROR(S41*J41),0,S41*J41)</f>
        <v>24</v>
      </c>
      <c r="U41" s="485" t="n">
        <f aca="false">IF(ISERROR(S41*J41*K41),0,S41*J41*K41)</f>
        <v>24</v>
      </c>
      <c r="V41" s="501" t="n">
        <f aca="false">IF(ISERROR(S41*K41),0,S41*K41)</f>
        <v>2</v>
      </c>
      <c r="W41" s="502"/>
      <c r="X41" s="503"/>
      <c r="Y41" s="488" t="str">
        <f aca="false">IF(AND(ISNUMBER(F41),OR(A41="",A41="!!!!!!")),"!!!!!!",IF(A41="new.cod","NEWCOD",IF(AND((Z41=""),ISTEXT(A41),A41&lt;&gt;"!!!!!!"),A41,IF(Z41="","",INDEX('liste reference'!$A$6:$A$1174,Z41)))))</f>
        <v>MENAQU</v>
      </c>
      <c r="Z41" s="470" t="n">
        <f aca="false">IF(ISERROR(MATCH(A41,'liste reference'!$A$6:$A$1174,0)),IF(ISERROR(MATCH(A41,'liste reference'!$B$6:$B$1174,0)),"",(MATCH(A41,'liste reference'!$B$6:$B$1174,0))),(MATCH(A41,'liste reference'!$A$6:$A$1174,0)))</f>
        <v>694</v>
      </c>
    </row>
    <row r="42" customFormat="false" ht="12.75" hidden="false" customHeight="false" outlineLevel="0" collapsed="false">
      <c r="A42" s="489" t="s">
        <v>2170</v>
      </c>
      <c r="B42" s="490" t="n">
        <v>0.5</v>
      </c>
      <c r="C42" s="491" t="n">
        <v>0.8</v>
      </c>
      <c r="D42" s="492" t="str">
        <f aca="false">IF(ISERROR(VLOOKUP($A42,'liste reference'!$A$6:$B$1174,2,0)),IF(ISERROR(VLOOKUP($A42,'liste reference'!$B$6:$B$1174,1,0)),"",VLOOKUP($A42,'liste reference'!$B$6:$B$1174,1,0)),VLOOKUP($A42,'liste reference'!$A$6:$B$1174,2,0))</f>
        <v>Phalaris arundinacea</v>
      </c>
      <c r="E42" s="493" t="e">
        <f aca="false">IF(D42="",0,VLOOKUP(D42,D$22:D41,1,0))</f>
        <v>#N/A</v>
      </c>
      <c r="F42" s="494" t="n">
        <f aca="false">IF(AND(OR(A42="",A42="!!!!!!"),B42="",C42=""),"",IF(OR(AND(B42="",C42=""),ISERROR(C42+B42)),"!!!",($B42*$B$7+$C42*$C$7)/100))</f>
        <v>0.785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Phalaris arundinacea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1577</v>
      </c>
      <c r="R42" s="484" t="n">
        <f aca="false">IF(ISTEXT(H42),"",(B42*$B$7/100)+(C42*$C$7/100))</f>
        <v>0.785</v>
      </c>
      <c r="S42" s="485" t="n">
        <f aca="false">IF(OR(ISTEXT(H42),R42=0),"",IF(R42&lt;0.1,1,IF(R42&lt;1,2,IF(R42&lt;10,3,IF(R42&lt;50,4,IF(R42&gt;=50,5,""))))))</f>
        <v>2</v>
      </c>
      <c r="T42" s="485" t="n">
        <f aca="false">IF(ISERROR(S42*J42),0,S42*J42)</f>
        <v>20</v>
      </c>
      <c r="U42" s="485" t="n">
        <f aca="false">IF(ISERROR(S42*J42*K42),0,S42*J42*K42)</f>
        <v>20</v>
      </c>
      <c r="V42" s="501" t="n">
        <f aca="false">IF(ISERROR(S42*K42),0,S42*K42)</f>
        <v>2</v>
      </c>
      <c r="W42" s="502"/>
      <c r="X42" s="503"/>
      <c r="Y42" s="488" t="str">
        <f aca="false">IF(AND(ISNUMBER(F42),OR(A42="",A42="!!!!!!")),"!!!!!!",IF(A42="new.cod","NEWCOD",IF(AND((Z42=""),ISTEXT(A42),A42&lt;&gt;"!!!!!!"),A42,IF(Z42="","",INDEX('liste reference'!$A$6:$A$1174,Z42)))))</f>
        <v>PHAARU</v>
      </c>
      <c r="Z42" s="470" t="n">
        <f aca="false">IF(ISERROR(MATCH(A42,'liste reference'!$A$6:$A$1174,0)),IF(ISERROR(MATCH(A42,'liste reference'!$B$6:$B$1174,0)),"",(MATCH(A42,'liste reference'!$B$6:$B$1174,0))),(MATCH(A42,'liste reference'!$A$6:$A$1174,0)))</f>
        <v>707</v>
      </c>
    </row>
    <row r="43" customFormat="false" ht="12.75" hidden="false" customHeight="false" outlineLevel="0" collapsed="false">
      <c r="A43" s="489" t="s">
        <v>2247</v>
      </c>
      <c r="B43" s="490" t="n">
        <v>0.5</v>
      </c>
      <c r="C43" s="491" t="n">
        <v>5</v>
      </c>
      <c r="D43" s="492" t="str">
        <f aca="false">IF(ISERROR(VLOOKUP($A43,'liste reference'!$A$6:$B$1174,2,0)),IF(ISERROR(VLOOKUP($A43,'liste reference'!$B$6:$B$1174,1,0)),"",VLOOKUP($A43,'liste reference'!$B$6:$B$1174,1,0)),VLOOKUP($A43,'liste reference'!$A$6:$B$1174,2,0))</f>
        <v>Typha latifolia</v>
      </c>
      <c r="E43" s="493" t="e">
        <f aca="false">IF(D43="",0,VLOOKUP(D43,D$22:D42,1,0))</f>
        <v>#N/A</v>
      </c>
      <c r="F43" s="494" t="n">
        <f aca="false">IF(AND(OR(A43="",A43="!!!!!!"),B43="",C43=""),"",IF(OR(AND(B43="",C43=""),ISERROR(C43+B43)),"!!!",($B43*$B$7+$C43*$C$7)/100))</f>
        <v>4.775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8</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Typha latifolia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1676</v>
      </c>
      <c r="R43" s="484" t="n">
        <f aca="false">IF(ISTEXT(H43),"",(B43*$B$7/100)+(C43*$C$7/100))</f>
        <v>4.775</v>
      </c>
      <c r="S43" s="485" t="n">
        <f aca="false">IF(OR(ISTEXT(H43),R43=0),"",IF(R43&lt;0.1,1,IF(R43&lt;1,2,IF(R43&lt;10,3,IF(R43&lt;50,4,IF(R43&gt;=50,5,""))))))</f>
        <v>3</v>
      </c>
      <c r="T43" s="485" t="n">
        <f aca="false">IF(ISERROR(S43*J43),0,S43*J43)</f>
        <v>24</v>
      </c>
      <c r="U43" s="485" t="n">
        <f aca="false">IF(ISERROR(S43*J43*K43),0,S43*J43*K43)</f>
        <v>24</v>
      </c>
      <c r="V43" s="501" t="n">
        <f aca="false">IF(ISERROR(S43*K43),0,S43*K43)</f>
        <v>3</v>
      </c>
      <c r="W43" s="502"/>
      <c r="X43" s="503"/>
      <c r="Y43" s="488" t="str">
        <f aca="false">IF(AND(ISNUMBER(F43),OR(A43="",A43="!!!!!!")),"!!!!!!",IF(A43="new.cod","NEWCOD",IF(AND((Z43=""),ISTEXT(A43),A43&lt;&gt;"!!!!!!"),A43,IF(Z43="","",INDEX('liste reference'!$A$6:$A$1174,Z43)))))</f>
        <v>TYPLAT</v>
      </c>
      <c r="Z43" s="470" t="n">
        <f aca="false">IF(ISERROR(MATCH(A43,'liste reference'!$A$6:$A$1174,0)),IF(ISERROR(MATCH(A43,'liste reference'!$B$6:$B$1174,0)),"",(MATCH(A43,'liste reference'!$B$6:$B$1174,0))),(MATCH(A43,'liste reference'!$A$6:$A$1174,0)))</f>
        <v>735</v>
      </c>
    </row>
    <row r="44" customFormat="false" ht="12.75" hidden="false" customHeight="false" outlineLevel="0" collapsed="false">
      <c r="A44" s="489" t="s">
        <v>2345</v>
      </c>
      <c r="B44" s="490"/>
      <c r="C44" s="491" t="n">
        <v>0.005</v>
      </c>
      <c r="D44" s="492" t="str">
        <f aca="false">IF(ISERROR(VLOOKUP($A44,'liste reference'!$A$6:$B$1174,2,0)),IF(ISERROR(VLOOKUP($A44,'liste reference'!$B$6:$B$1174,1,0)),"",VLOOKUP($A44,'liste reference'!$B$6:$B$1174,1,0)),VLOOKUP($A44,'liste reference'!$A$6:$B$1174,2,0))</f>
        <v>Bidens frondosa</v>
      </c>
      <c r="E44" s="493" t="e">
        <f aca="false">IF(D44="",0,VLOOKUP(D44,D$22:D43,1,0))</f>
        <v>#N/A</v>
      </c>
      <c r="F44" s="494" t="n">
        <f aca="false">IF(AND(OR(A44="",A44="!!!!!!"),B44="",C44=""),"",IF(OR(AND(B44="",C44=""),ISERROR(C44+B44)),"!!!",($B44*$B$7+$C44*$C$7)/100))</f>
        <v>0.00475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Bidens frondosa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1727</v>
      </c>
      <c r="R44" s="484" t="n">
        <f aca="false">IF(ISTEXT(H44),"",(B44*$B$7/100)+(C44*$C$7/100))</f>
        <v>0.00475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BIDFRO</v>
      </c>
      <c r="Z44" s="470" t="n">
        <f aca="false">IF(ISERROR(MATCH(A44,'liste reference'!$A$6:$A$1174,0)),IF(ISERROR(MATCH(A44,'liste reference'!$B$6:$B$1174,0)),"",(MATCH(A44,'liste reference'!$B$6:$B$1174,0))),(MATCH(A44,'liste reference'!$A$6:$A$1174,0)))</f>
        <v>771</v>
      </c>
    </row>
    <row r="45" customFormat="false" ht="12.75" hidden="false" customHeight="false" outlineLevel="0" collapsed="false">
      <c r="A45" s="489" t="s">
        <v>2421</v>
      </c>
      <c r="B45" s="490"/>
      <c r="C45" s="491" t="n">
        <v>0.2</v>
      </c>
      <c r="D45" s="492" t="str">
        <f aca="false">IF(ISERROR(VLOOKUP($A45,'liste reference'!$A$6:$B$1174,2,0)),IF(ISERROR(VLOOKUP($A45,'liste reference'!$B$6:$B$1174,1,0)),"",VLOOKUP($A45,'liste reference'!$B$6:$B$1174,1,0)),VLOOKUP($A45,'liste reference'!$A$6:$B$1174,2,0))</f>
        <v>Carex pendula</v>
      </c>
      <c r="E45" s="493" t="e">
        <f aca="false">IF(D45="",0,VLOOKUP(D45,D$22:D44,1,0))</f>
        <v>#N/A</v>
      </c>
      <c r="F45" s="494" t="n">
        <f aca="false">IF(AND(OR(A45="",A45="!!!!!!"),B45="",C45=""),"",IF(OR(AND(B45="",C45=""),ISERROR(C45+B45)),"!!!",($B45*$B$7+$C45*$C$7)/100))</f>
        <v>0.19</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Carex pendula</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1485</v>
      </c>
      <c r="R45" s="484" t="n">
        <f aca="false">IF(ISTEXT(H45),"",(B45*$B$7/100)+(C45*$C$7/100))</f>
        <v>0.19</v>
      </c>
      <c r="S45" s="485" t="n">
        <f aca="false">IF(OR(ISTEXT(H45),R45=0),"",IF(R45&lt;0.1,1,IF(R45&lt;1,2,IF(R45&lt;10,3,IF(R45&lt;50,4,IF(R45&gt;=50,5,""))))))</f>
        <v>2</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CARPEN</v>
      </c>
      <c r="Z45" s="470" t="n">
        <f aca="false">IF(ISERROR(MATCH(A45,'liste reference'!$A$6:$A$1174,0)),IF(ISERROR(MATCH(A45,'liste reference'!$B$6:$B$1174,0)),"",(MATCH(A45,'liste reference'!$B$6:$B$1174,0))),(MATCH(A45,'liste reference'!$A$6:$A$1174,0)))</f>
        <v>801</v>
      </c>
    </row>
    <row r="46" customFormat="false" ht="12.75" hidden="false" customHeight="false" outlineLevel="0" collapsed="false">
      <c r="A46" s="489" t="s">
        <v>2479</v>
      </c>
      <c r="B46" s="490" t="n">
        <v>15</v>
      </c>
      <c r="C46" s="491" t="n">
        <v>10</v>
      </c>
      <c r="D46" s="492" t="str">
        <f aca="false">IF(ISERROR(VLOOKUP($A46,'liste reference'!$A$6:$B$1174,2,0)),IF(ISERROR(VLOOKUP($A46,'liste reference'!$B$6:$B$1174,1,0)),"",VLOOKUP($A46,'liste reference'!$B$6:$B$1174,1,0)),VLOOKUP($A46,'liste reference'!$A$6:$B$1174,2,0))</f>
        <v>Cyperus longus</v>
      </c>
      <c r="E46" s="493" t="e">
        <f aca="false">IF(D46="",0,VLOOKUP(D46,D$22:D45,1,0))</f>
        <v>#N/A</v>
      </c>
      <c r="F46" s="494" t="n">
        <f aca="false">IF(AND(OR(A46="",A46="!!!!!!"),B46="",C46=""),"",IF(OR(AND(B46="",C46=""),ISERROR(C46+B46)),"!!!",($B46*$B$7+$C46*$C$7)/100))</f>
        <v>10.25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Cyperus longus</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1500</v>
      </c>
      <c r="R46" s="484" t="n">
        <f aca="false">IF(ISTEXT(H46),"",(B46*$B$7/100)+(C46*$C$7/100))</f>
        <v>10.25</v>
      </c>
      <c r="S46" s="485" t="n">
        <f aca="false">IF(OR(ISTEXT(H46),R46=0),"",IF(R46&lt;0.1,1,IF(R46&lt;1,2,IF(R46&lt;10,3,IF(R46&lt;50,4,IF(R46&gt;=50,5,""))))))</f>
        <v>4</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CYPLON</v>
      </c>
      <c r="Z46" s="470" t="n">
        <f aca="false">IF(ISERROR(MATCH(A46,'liste reference'!$A$6:$A$1174,0)),IF(ISERROR(MATCH(A46,'liste reference'!$B$6:$B$1174,0)),"",(MATCH(A46,'liste reference'!$B$6:$B$1174,0))),(MATCH(A46,'liste reference'!$A$6:$A$1174,0)))</f>
        <v>825</v>
      </c>
    </row>
    <row r="47" customFormat="false" ht="12.75" hidden="false" customHeight="false" outlineLevel="0" collapsed="false">
      <c r="A47" s="489" t="s">
        <v>2611</v>
      </c>
      <c r="B47" s="490"/>
      <c r="C47" s="491" t="n">
        <v>0.005</v>
      </c>
      <c r="D47" s="492" t="str">
        <f aca="false">IF(ISERROR(VLOOKUP($A47,'liste reference'!$A$6:$B$1174,2,0)),IF(ISERROR(VLOOKUP($A47,'liste reference'!$B$6:$B$1174,1,0)),"",VLOOKUP($A47,'liste reference'!$B$6:$B$1174,1,0)),VLOOKUP($A47,'liste reference'!$A$6:$B$1174,2,0))</f>
        <v>Juncus articulatus</v>
      </c>
      <c r="E47" s="493" t="e">
        <f aca="false">IF(D47="",0,VLOOKUP(D47,D$22:D46,1,0))</f>
        <v>#N/A</v>
      </c>
      <c r="F47" s="494" t="n">
        <f aca="false">IF(AND(OR(A47="",A47="!!!!!!"),B47="",C47=""),"",IF(OR(AND(B47="",C47=""),ISERROR(C47+B47)),"!!!",($B47*$B$7+$C47*$C$7)/100))</f>
        <v>0.00475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Juncus articulatus</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1609</v>
      </c>
      <c r="R47" s="484" t="n">
        <f aca="false">IF(ISTEXT(H47),"",(B47*$B$7/100)+(C47*$C$7/100))</f>
        <v>0.00475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JUNART</v>
      </c>
      <c r="Z47" s="470" t="n">
        <f aca="false">IF(ISERROR(MATCH(A47,'liste reference'!$A$6:$A$1174,0)),IF(ISERROR(MATCH(A47,'liste reference'!$B$6:$B$1174,0)),"",(MATCH(A47,'liste reference'!$B$6:$B$1174,0))),(MATCH(A47,'liste reference'!$A$6:$A$1174,0)))</f>
        <v>873</v>
      </c>
    </row>
    <row r="48" customFormat="false" ht="12.75" hidden="false" customHeight="false" outlineLevel="0" collapsed="false">
      <c r="A48" s="489" t="s">
        <v>2308</v>
      </c>
      <c r="B48" s="490"/>
      <c r="C48" s="491" t="n">
        <v>0.005</v>
      </c>
      <c r="D48" s="492" t="str">
        <f aca="false">IF(ISERROR(VLOOKUP($A48,'liste reference'!$A$6:$B$1174,2,0)),IF(ISERROR(VLOOKUP($A48,'liste reference'!$B$6:$B$1174,1,0)),"",VLOOKUP($A48,'liste reference'!$B$6:$B$1174,1,0)),VLOOKUP($A48,'liste reference'!$A$6:$B$1174,2,0))</f>
        <v>Persicaria hydropiper</v>
      </c>
      <c r="E48" s="493" t="e">
        <f aca="false">IF(D48="",0,VLOOKUP(D48,D$22:D47,1,0))</f>
        <v>#N/A</v>
      </c>
      <c r="F48" s="494" t="n">
        <f aca="false">IF(AND(OR(A48="",A48="!!!!!!"),B48="",C48=""),"",IF(OR(AND(B48="",C48=""),ISERROR(C48+B48)),"!!!",($B48*$B$7+$C48*$C$7)/100))</f>
        <v>0.00475</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9</v>
      </c>
      <c r="I48" s="281" t="n">
        <f aca="false">IF(A48="","",1)</f>
        <v>1</v>
      </c>
      <c r="J48" s="497" t="n">
        <f aca="false">IF(ISNUMBER($H48),IF(ISERROR(VLOOKUP($A48,'liste reference'!$A$6:$Q$1174,6,0)),IF(ISERROR(VLOOKUP($A48,'liste reference'!$B$6:$Q$1174,5,0)),"nu",VLOOKUP($A48,'liste reference'!$B$6:$Q$1174,5,0)),VLOOKUP($A48,'liste reference'!$A$6:$Q$1174,6,0)),"nu")</f>
        <v>8</v>
      </c>
      <c r="K48" s="497" t="n">
        <f aca="false">IF(ISNUMBER($H48),IF(ISERROR(VLOOKUP($A48,'liste reference'!$A$6:$Q$1174,7,0)),IF(ISERROR(VLOOKUP($A48,'liste reference'!$B$6:$Q$1174,6,0)),"nu",VLOOKUP($A48,'liste reference'!$B$6:$Q$1174,6,0)),VLOOKUP($A48,'liste reference'!$A$6:$Q$1174,7,0)),"nu")</f>
        <v>2</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Persicaria hydropiper</v>
      </c>
      <c r="M48" s="498"/>
      <c r="N48" s="498"/>
      <c r="O48" s="498"/>
      <c r="P48" s="499" t="s">
        <v>3449</v>
      </c>
      <c r="Q48" s="500" t="n">
        <f aca="false">IF(OR($A48="NEWCOD",$A48="!!!!!!"),IF(X48="","NoCod",X48),IF($A48="","",IF(ISERROR(VLOOKUP($A48,'liste reference'!$A$6:$H$1174,8,0)),IF(ISERROR(VLOOKUP($A48,'liste reference'!$B$6:$H$1174,7,0)),"",VLOOKUP($A48,'liste reference'!$B$6:$H$1174,7,0)),VLOOKUP($A48,'liste reference'!$A$6:$H$1174,8,0))))</f>
        <v>31021</v>
      </c>
      <c r="R48" s="484" t="n">
        <f aca="false">IF(ISTEXT(H48),"",(B48*$B$7/100)+(C48*$C$7/100))</f>
        <v>0.00475</v>
      </c>
      <c r="S48" s="485" t="n">
        <f aca="false">IF(OR(ISTEXT(H48),R48=0),"",IF(R48&lt;0.1,1,IF(R48&lt;1,2,IF(R48&lt;10,3,IF(R48&lt;50,4,IF(R48&gt;=50,5,""))))))</f>
        <v>1</v>
      </c>
      <c r="T48" s="485" t="n">
        <f aca="false">IF(ISERROR(S48*J48),0,S48*J48)</f>
        <v>8</v>
      </c>
      <c r="U48" s="485" t="n">
        <f aca="false">IF(ISERROR(S48*J48*K48),0,S48*J48*K48)</f>
        <v>16</v>
      </c>
      <c r="V48" s="501" t="n">
        <f aca="false">IF(ISERROR(S48*K48),0,S48*K48)</f>
        <v>2</v>
      </c>
      <c r="W48" s="502"/>
      <c r="X48" s="503"/>
      <c r="Y48" s="488" t="str">
        <f aca="false">IF(AND(ISNUMBER(F48),OR(A48="",A48="!!!!!!")),"!!!!!!",IF(A48="new.cod","NEWCOD",IF(AND((Z48=""),ISTEXT(A48),A48&lt;&gt;"!!!!!!"),A48,IF(Z48="","",INDEX('liste reference'!$A$6:$A$1174,Z48)))))</f>
        <v>PERHYD</v>
      </c>
      <c r="Z48" s="470" t="n">
        <f aca="false">IF(ISERROR(MATCH(A48,'liste reference'!$A$6:$A$1174,0)),IF(ISERROR(MATCH(A48,'liste reference'!$B$6:$B$1174,0)),"",(MATCH(A48,'liste reference'!$B$6:$B$1174,0))),(MATCH(A48,'liste reference'!$A$6:$A$1174,0)))</f>
        <v>756</v>
      </c>
    </row>
    <row r="49" customFormat="false" ht="12.75" hidden="false" customHeight="false" outlineLevel="0" collapsed="false">
      <c r="A49" s="489" t="s">
        <v>2866</v>
      </c>
      <c r="B49" s="490"/>
      <c r="C49" s="491" t="n">
        <v>0.1</v>
      </c>
      <c r="D49" s="492" t="str">
        <f aca="false">IF(ISERROR(VLOOKUP($A49,'liste reference'!$A$6:$B$1174,2,0)),IF(ISERROR(VLOOKUP($A49,'liste reference'!$B$6:$B$1174,1,0)),"",VLOOKUP($A49,'liste reference'!$B$6:$B$1174,1,0)),VLOOKUP($A49,'liste reference'!$A$6:$B$1174,2,0))</f>
        <v>Scirpoides holoschoenus</v>
      </c>
      <c r="E49" s="493" t="e">
        <f aca="false">IF(D49="",0,VLOOKUP(D49,D$22:D48,1,0))</f>
        <v>#N/A</v>
      </c>
      <c r="F49" s="494" t="n">
        <f aca="false">IF(AND(OR(A49="",A49="!!!!!!"),B49="",C49=""),"",IF(OR(AND(B49="",C49=""),ISERROR(C49+B49)),"!!!",($B49*$B$7+$C49*$C$7)/100))</f>
        <v>0.095</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Scirpoides holoschoenus</v>
      </c>
      <c r="M49" s="498"/>
      <c r="N49" s="498"/>
      <c r="O49" s="498"/>
      <c r="P49" s="499" t="s">
        <v>3449</v>
      </c>
      <c r="Q49" s="500" t="n">
        <f aca="false">IF(OR($A49="NEWCOD",$A49="!!!!!!"),IF(X49="","NoCod",X49),IF($A49="","",IF(ISERROR(VLOOKUP($A49,'liste reference'!$A$6:$H$1174,8,0)),IF(ISERROR(VLOOKUP($A49,'liste reference'!$B$6:$H$1174,7,0)),"",VLOOKUP($A49,'liste reference'!$B$6:$H$1174,7,0)),VLOOKUP($A49,'liste reference'!$A$6:$H$1174,8,0))))</f>
        <v>19685</v>
      </c>
      <c r="R49" s="484" t="n">
        <f aca="false">IF(ISTEXT(H49),"",(B49*$B$7/100)+(C49*$C$7/100))</f>
        <v>0.095</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SCPHOL</v>
      </c>
      <c r="Z49" s="470" t="n">
        <f aca="false">IF(ISERROR(MATCH(A49,'liste reference'!$A$6:$A$1174,0)),IF(ISERROR(MATCH(A49,'liste reference'!$B$6:$B$1174,0)),"",(MATCH(A49,'liste reference'!$B$6:$B$1174,0))),(MATCH(A49,'liste reference'!$A$6:$A$1174,0)))</f>
        <v>961</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61.54335</v>
      </c>
      <c r="G83" s="424"/>
      <c r="H83" s="424"/>
      <c r="I83" s="424"/>
      <c r="J83" s="424"/>
      <c r="K83" s="424"/>
      <c r="L83" s="424"/>
      <c r="M83" s="485"/>
      <c r="N83" s="485"/>
      <c r="O83" s="485"/>
      <c r="P83" s="485"/>
      <c r="Q83" s="485"/>
      <c r="R83" s="485"/>
      <c r="S83" s="485"/>
      <c r="T83" s="485"/>
      <c r="U83" s="485"/>
      <c r="V83" s="485" t="n">
        <f aca="false">SUM(V23:V82)</f>
        <v>48</v>
      </c>
      <c r="W83" s="485"/>
      <c r="X83" s="523"/>
      <c r="Y83" s="523"/>
      <c r="Z83" s="524"/>
    </row>
    <row r="84" customFormat="false" ht="12.75" hidden="true" customHeight="false" outlineLevel="0" collapsed="false">
      <c r="A84" s="518" t="str">
        <f aca="false">A3</f>
        <v>REAL COLLOBRIER</v>
      </c>
      <c r="B84" s="453" t="str">
        <f aca="false">C3</f>
        <v>REAL COLLOBRIER A COLLOBRIERES</v>
      </c>
      <c r="C84" s="525" t="str">
        <f aca="false">A4</f>
        <v>(Date)</v>
      </c>
      <c r="D84" s="526" t="n">
        <f aca="false">IF(OR(ISERROR(SUM($U$23:$U$82)/SUM($V$23:$V$82)),F7&lt;&gt;100),-1,SUM($U$23:$U$82)/SUM($V$23:$V$82))</f>
        <v>10.3125</v>
      </c>
      <c r="E84" s="527" t="n">
        <f aca="false">O13</f>
        <v>27</v>
      </c>
      <c r="F84" s="453" t="n">
        <f aca="false">O14</f>
        <v>20</v>
      </c>
      <c r="G84" s="453" t="n">
        <f aca="false">O15</f>
        <v>12</v>
      </c>
      <c r="H84" s="453" t="n">
        <f aca="false">O16</f>
        <v>8</v>
      </c>
      <c r="I84" s="453" t="n">
        <f aca="false">O17</f>
        <v>0</v>
      </c>
      <c r="J84" s="528" t="n">
        <f aca="false">O8</f>
        <v>10.1</v>
      </c>
      <c r="K84" s="529" t="n">
        <f aca="false">O9</f>
        <v>2.38537208837531</v>
      </c>
      <c r="L84" s="530" t="n">
        <f aca="false">O10</f>
        <v>4</v>
      </c>
      <c r="M84" s="530" t="n">
        <f aca="false">O11</f>
        <v>13</v>
      </c>
      <c r="N84" s="529" t="n">
        <f aca="false">P8</f>
        <v>1.4</v>
      </c>
      <c r="O84" s="529" t="n">
        <f aca="false">P9</f>
        <v>0.489897948556636</v>
      </c>
      <c r="P84" s="530" t="n">
        <f aca="false">P10</f>
        <v>1</v>
      </c>
      <c r="Q84" s="530" t="n">
        <f aca="false">P11</f>
        <v>2</v>
      </c>
      <c r="R84" s="530" t="n">
        <f aca="false">F21</f>
        <v>61.54335</v>
      </c>
      <c r="S84" s="530" t="n">
        <f aca="false">L11</f>
        <v>0</v>
      </c>
      <c r="T84" s="530" t="n">
        <f aca="false">L12</f>
        <v>10</v>
      </c>
      <c r="U84" s="530" t="n">
        <f aca="false">L13</f>
        <v>2</v>
      </c>
      <c r="V84" s="531" t="n">
        <f aca="false">L15</f>
        <v>14</v>
      </c>
      <c r="W84" s="532" t="n">
        <f aca="false">L15</f>
        <v>14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48</v>
      </c>
      <c r="U87" s="281"/>
      <c r="V87" s="281"/>
    </row>
    <row r="88" customFormat="false" ht="12.75" hidden="true" customHeight="false" outlineLevel="0" collapsed="false">
      <c r="C88" s="534"/>
      <c r="D88" s="534"/>
      <c r="E88" s="534"/>
      <c r="R88" s="281" t="s">
        <v>3453</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3454</v>
      </c>
      <c r="S89" s="281"/>
      <c r="T89" s="536" t="n">
        <f aca="false">MAX($V$23:$V$82)</f>
        <v>8</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9.975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DIASPX</v>
      </c>
      <c r="U91" s="281" t="n">
        <f aca="false">IF(ISERROR(MATCH($T$93,'liste reference'!$A$6:$A$1174,0)),MATCH($T$93,'liste reference'!$B$6:$B$1174,0),(MATCH($T$93,'liste reference'!$A$6:$A$1174,0)))</f>
        <v>40</v>
      </c>
      <c r="V91" s="538"/>
    </row>
    <row r="92" customFormat="false" ht="12.75" hidden="true" customHeight="false" outlineLevel="0" collapsed="false">
      <c r="C92" s="534"/>
      <c r="D92" s="534"/>
      <c r="E92" s="534"/>
      <c r="R92" s="281" t="s">
        <v>3457</v>
      </c>
      <c r="S92" s="281"/>
      <c r="T92" s="281" t="n">
        <f aca="false">MATCH(T89,$V$23:$V$82,0)</f>
        <v>3</v>
      </c>
      <c r="U92" s="281"/>
    </row>
    <row r="93" customFormat="false" ht="12.75" hidden="true" customHeight="false" outlineLevel="0" collapsed="false">
      <c r="C93" s="534"/>
      <c r="D93" s="534"/>
      <c r="E93" s="534"/>
      <c r="R93" s="485" t="s">
        <v>3458</v>
      </c>
      <c r="S93" s="281"/>
      <c r="T93" s="485" t="str">
        <f aca="false">INDEX($A$23:$A$82,$T$92)</f>
        <v>DIASPX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2016-12-22T16:09:02Z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