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rgens à Chateauvert" sheetId="6" state="visible" r:id="rId8"/>
    <sheet name="modele" sheetId="7" state="hidden" r:id="rId9"/>
    <sheet name="liste codes réf" sheetId="8" state="hidden" r:id="rId10"/>
  </sheets>
  <definedNames>
    <definedName function="false" hidden="false" localSheetId="5" name="_xlnm.Print_Area" vbProcedure="false">'Argens à Chateauvert'!$A$1:$O$82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'Argens à Chateauvert'!$A$23:$J$84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<sst xmlns="http://schemas.openxmlformats.org/spreadsheetml/2006/main" count="7344" uniqueCount="2728">
  <si>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</si>
  <si>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</si>
  <si>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</si>
  <si>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</si>
  <si>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</si>
  <si>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</si>
  <si>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</si>
  <si>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</si>
  <si>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</si>
  <si>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</si>
  <si>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</si>
  <si>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</si>
  <si>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</si>
  <si>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</si>
  <si>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</si>
  <si>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</si>
  <si>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</si>
  <si>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</si>
  <si>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</si>
  <si>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</si>
  <si>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</si>
  <si>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</si>
  <si>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</si>
  <si>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</si>
  <si>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</si>
  <si>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</si>
  <si>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</si>
  <si>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</si>
  <si>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</si>
  <si>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</si>
  <si>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</si>
  <si>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</si>
  <si>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</si>
  <si>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</si>
  <si>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</si>
  <si>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</si>
  <si>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</si>
  <si>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</si>
  <si>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</si>
  <si>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</si>
  <si>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</si>
  <si>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</si>
  <si>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</si>
  <si>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</si>
  <si>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</si>
  <si>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</si>
  <si>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</si>
  <si>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</si>
  <si>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</si>
  <si>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</si>
  <si>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</si>
  <si>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</si>
  <si>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</si>
  <si>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</si>
  <si>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</si>
  <si>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</si>
  <si>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</si>
  <si>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</si>
  <si>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</si>
  <si>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</si>
  <si>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</si>
  <si>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</si>
  <si>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</si>
  <si>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</si>
  <si>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</si>
  <si>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</si>
  <si>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</si>
  <si>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</si>
  <si>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</si>
  <si>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</si>
  <si>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</si>
  <si>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</si>
  <si>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</si>
  <si>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</si>
  <si>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</si>
  <si>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</si>
  <si>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</si>
  <si>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</si>
  <si>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</si>
  <si>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</si>
  <si>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</si>
  <si>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</si>
  <si>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</si>
  <si>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</si>
  <si>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</si>
  <si>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</si>
  <si>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</si>
  <si>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</si>
  <si>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</si>
  <si>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</si>
  <si>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</si>
  <si>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</si>
  <si>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</si>
  <si>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</si>
  <si>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</si>
  <si>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</si>
  <si>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</si>
  <si>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</si>
  <si>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</si>
  <si>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</si>
  <si>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</si>
  <si>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</si>
  <si>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</si>
  <si>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</si>
  <si>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</si>
  <si>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</si>
  <si>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</si>
  <si>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</si>
  <si>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</si>
  <si>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</si>
  <si>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</si>
  <si>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</si>
  <si>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</si>
  <si>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</si>
  <si>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</si>
  <si>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</si>
  <si>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</si>
  <si>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</si>
  <si>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</si>
  <si>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</si>
  <si>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</si>
  <si>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</si>
  <si>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</si>
  <si>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</si>
  <si>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</si>
  <si>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</si>
  <si>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</si>
  <si>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</si>
  <si>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</si>
  <si>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</si>
  <si>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</si>
  <si>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</si>
  <si>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</si>
  <si>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</si>
  <si>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</si>
  <si>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</si>
  <si>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</si>
  <si>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</si>
  <si>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</si>
  <si>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</si>
  <si>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</si>
  <si>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</si>
  <si>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</si>
  <si>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</si>
  <si>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</si>
  <si>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</si>
  <si>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</si>
  <si>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</si>
  <si>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</si>
  <si>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</si>
  <si>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</si>
  <si>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</si>
  <si>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</si>
  <si>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</si>
  <si>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</si>
  <si>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</si>
  <si>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</si>
  <si>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</si>
  <si>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</si>
  <si>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</si>
  <si>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</si>
  <si>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</si>
  <si>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</si>
  <si>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</si>
  <si>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</si>
  <si>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</si>
  <si>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</si>
  <si>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</si>
  <si>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</si>
  <si>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</si>
  <si>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</si>
  <si>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</si>
  <si>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</si>
  <si>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</si>
  <si>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</si>
  <si>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</si>
  <si>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</si>
  <si>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</si>
  <si>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</si>
  <si>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</si>
  <si>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</si>
  <si>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</si>
  <si>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</si>
  <si>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</si>
  <si>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</si>
  <si>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</si>
  <si>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</si>
  <si>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</si>
  <si>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</si>
  <si>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</si>
  <si>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</si>
  <si>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</si>
  <si>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</si>
  <si>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</si>
  <si>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</si>
  <si>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</si>
  <si>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</si>
  <si>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</si>
  <si>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</si>
  <si>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</si>
  <si>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</si>
  <si>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</si>
  <si>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</si>
  <si>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</si>
  <si>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</si>
  <si>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</si>
  <si>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</si>
  <si>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</si>
  <si>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</si>
  <si>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</si>
  <si>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</si>
  <si>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</si>
  <si>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</si>
  <si>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</si>
  <si>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</si>
  <si>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</si>
  <si>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</si>
  <si>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</si>
  <si>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</si>
  <si>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</si>
  <si>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</si>
  <si>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</si>
  <si>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</si>
  <si>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</si>
  <si>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</si>
  <si>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</si>
  <si>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</si>
  <si>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</si>
  <si>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</si>
  <si>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</si>
  <si>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</si>
  <si>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</si>
  <si>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</si>
  <si>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</si>
  <si>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</si>
  <si>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</si>
  <si>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</si>
  <si>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</si>
  <si>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</si>
  <si>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</si>
  <si>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</si>
  <si>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</si>
  <si>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</si>
  <si>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</si>
  <si>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</si>
  <si>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</si>
  <si>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</si>
  <si>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</si>
  <si>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</si>
  <si>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</si>
  <si>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</si>
  <si>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</si>
  <si>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</si>
  <si>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</si>
  <si>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</si>
  <si>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</si>
  <si>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</si>
  <si>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</si>
  <si>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</si>
  <si>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</si>
  <si>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</si>
  <si>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</si>
  <si>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</si>
  <si>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</si>
  <si>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</si>
  <si>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</si>
  <si>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</si>
  <si>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</si>
  <si>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</si>
  <si>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</si>
  <si>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</si>
  <si>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</si>
  <si>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</si>
  <si>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</si>
  <si>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</si>
  <si>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</si>
  <si>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</si>
  <si>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</si>
  <si>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</si>
  <si>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</si>
  <si>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</si>
  <si>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</si>
  <si>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</si>
  <si>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</si>
  <si>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</si>
  <si>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</si>
  <si>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</si>
  <si>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</si>
  <si>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</si>
  <si>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</si>
  <si>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</si>
  <si>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</si>
  <si>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</si>
  <si>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</si>
  <si>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</si>
  <si>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</si>
  <si>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</si>
  <si>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</si>
  <si>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</si>
  <si>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</si>
  <si>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</si>
  <si>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</si>
  <si>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</si>
  <si>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</si>
  <si>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</si>
  <si>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</si>
  <si>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</si>
  <si>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</si>
  <si>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</si>
  <si>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</si>
  <si>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</si>
  <si>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</si>
  <si>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</si>
  <si>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</si>
  <si>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</si>
  <si>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</si>
  <si>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</si>
  <si>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</si>
  <si>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</si>
  <si>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</si>
  <si>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</si>
  <si>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</si>
  <si>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</si>
  <si>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</si>
  <si>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</si>
  <si>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</si>
  <si>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</si>
  <si>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</si>
  <si>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</si>
  <si>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</si>
  <si>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</si>
  <si>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</si>
  <si>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</si>
  <si>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</si>
  <si>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</si>
  <si>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</si>
  <si>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</si>
  <si>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</si>
  <si>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</si>
  <si>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</si>
  <si>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</si>
  <si>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</si>
  <si>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</si>
  <si>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</si>
  <si>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</si>
  <si>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</si>
  <si>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</si>
  <si>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</si>
  <si>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</si>
  <si>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</si>
  <si>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</si>
  <si>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</si>
  <si>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</si>
  <si>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</si>
  <si>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</si>
  <si>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</si>
  <si>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</si>
  <si>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</si>
  <si>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</si>
  <si>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</si>
  <si>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</si>
  <si>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</si>
  <si>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</si>
  <si>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</si>
  <si>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</si>
  <si>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</si>
  <si>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</si>
  <si>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</si>
  <si>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</si>
  <si>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</si>
  <si>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</si>
  <si>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</si>
  <si>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</si>
  <si>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</si>
  <si>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</si>
  <si>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</si>
  <si>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</si>
  <si>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</si>
  <si>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</si>
  <si>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</si>
  <si>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</si>
  <si>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</si>
  <si>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</si>
  <si>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</si>
  <si>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</si>
  <si>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</si>
  <si>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</si>
  <si>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</si>
  <si>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</si>
  <si>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</si>
  <si>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</si>
  <si>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</si>
  <si>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</si>
  <si>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</si>
  <si>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</si>
  <si>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</si>
  <si>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</si>
  <si>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</si>
  <si>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</si>
  <si>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</si>
  <si>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</si>
  <si>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</si>
  <si>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</si>
  <si>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</si>
  <si>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</si>
  <si>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</si>
  <si>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</si>
  <si>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</si>
  <si>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</si>
  <si>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</si>
  <si>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</si>
  <si>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</si>
  <si>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</si>
  <si>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</si>
  <si>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</si>
  <si>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</si>
  <si>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</si>
  <si>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</si>
  <si>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</si>
  <si>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</si>
  <si>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</si>
  <si>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</si>
  <si>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</si>
  <si>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</si>
  <si>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</si>
  <si>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</si>
  <si>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</si>
  <si>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</si>
  <si>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</si>
  <si>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</si>
  <si>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</si>
  <si>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</si>
  <si>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</si>
  <si>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</si>
  <si>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</si>
  <si>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</si>
  <si>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</si>
  <si>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</si>
  <si>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</si>
  <si>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</si>
  <si>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</si>
  <si>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</si>
  <si>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</si>
  <si>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</si>
  <si>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</si>
  <si>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</si>
  <si>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</si>
  <si>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</si>
  <si>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</si>
  <si>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</si>
  <si>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</si>
  <si>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</si>
  <si>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</si>
  <si>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</si>
  <si>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</si>
  <si>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</si>
  <si>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</si>
  <si>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</si>
  <si>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</si>
  <si>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</si>
  <si>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</si>
  <si>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</si>
  <si>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</si>
  <si>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</si>
  <si>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</si>
  <si>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</si>
  <si>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</si>
  <si>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</si>
  <si>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</si>
  <si>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</si>
  <si>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</si>
  <si>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</si>
  <si>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</si>
  <si>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</si>
  <si>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</si>
  <si>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</si>
  <si>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</si>
  <si>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</si>
  <si>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</si>
  <si>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</si>
  <si>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</si>
  <si>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</si>
  <si>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</si>
  <si>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</si>
  <si>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</si>
  <si>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</si>
  <si>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</si>
  <si>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</si>
  <si>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</si>
  <si>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</si>
  <si>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</si>
  <si>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</si>
  <si>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</si>
  <si>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</si>
  <si>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</si>
  <si>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</si>
  <si>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</si>
  <si>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</si>
  <si>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</si>
  <si>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</si>
  <si>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</si>
  <si>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</si>
  <si>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</si>
  <si>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</si>
  <si>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</si>
  <si>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</si>
  <si>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</si>
  <si>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</si>
  <si>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</si>
  <si>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</si>
  <si>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</si>
  <si>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</si>
  <si>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</si>
  <si>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</si>
  <si>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</si>
  <si>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</si>
  <si>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</si>
  <si>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</si>
  <si>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</si>
  <si>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</si>
  <si>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</si>
  <si>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</si>
  <si>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</si>
  <si>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</si>
  <si>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</si>
  <si>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</si>
  <si>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</si>
  <si>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</si>
  <si>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</si>
  <si>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</si>
  <si>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</si>
  <si>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</si>
  <si>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</si>
  <si>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</si>
  <si>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</si>
  <si>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</si>
  <si>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</si>
  <si>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</si>
  <si>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</si>
  <si>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</si>
  <si>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</si>
  <si>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</si>
  <si>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</si>
  <si>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</si>
  <si>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</si>
  <si>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</si>
  <si>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</si>
  <si>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</si>
  <si>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</si>
  <si>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</si>
  <si>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</si>
  <si>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</si>
  <si>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</si>
  <si>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</si>
  <si>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</si>
  <si>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</si>
  <si>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</si>
  <si>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</si>
  <si>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</si>
  <si>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</si>
  <si>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</si>
  <si>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</si>
  <si>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</si>
  <si>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</si>
  <si>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</si>
  <si>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</si>
  <si>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</si>
  <si>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</si>
  <si>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</si>
  <si>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</si>
  <si>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</si>
  <si>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</si>
  <si>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</si>
  <si>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</si>
  <si>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</si>
  <si>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</si>
  <si>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</si>
  <si>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</si>
  <si>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</si>
  <si>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</si>
  <si>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</si>
  <si>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</si>
  <si>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</si>
  <si>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</si>
  <si>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</si>
  <si>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</si>
  <si>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</si>
  <si>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</si>
  <si>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</si>
  <si>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</si>
  <si>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</si>
  <si>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</si>
  <si>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</si>
  <si>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</si>
  <si>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</si>
  <si>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</si>
  <si>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</si>
  <si>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</si>
  <si>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</si>
  <si>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</si>
  <si>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</si>
  <si>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</si>
  <si>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</si>
  <si>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</si>
  <si>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</si>
  <si>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</si>
  <si>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</si>
  <si>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</si>
  <si>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</si>
  <si>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</si>
  <si>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</si>
  <si>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</si>
  <si>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</si>
  <si>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</si>
  <si>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</si>
  <si>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</si>
  <si>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</si>
  <si>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</si>
  <si>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</si>
  <si>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</si>
  <si>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</si>
  <si>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</si>
  <si>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</si>
  <si>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</si>
  <si>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</si>
  <si>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</si>
  <si>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</si>
  <si>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</si>
  <si>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</si>
  <si>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</si>
  <si>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</si>
  <si>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</si>
  <si>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</si>
  <si>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</si>
  <si>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</si>
  <si>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</si>
  <si>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</si>
  <si>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</si>
  <si>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</si>
  <si>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</si>
  <si>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</si>
  <si>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</si>
  <si>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</si>
  <si>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</si>
  <si>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</si>
  <si>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</si>
  <si>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</si>
  <si>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</si>
  <si>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</si>
  <si>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</si>
  <si>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</si>
  <si>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</si>
  <si>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</si>
  <si>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</si>
  <si>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</si>
  <si>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</si>
  <si>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</si>
  <si>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</si>
  <si>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</si>
  <si>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</si>
  <si>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</si>
  <si>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</si>
  <si>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</si>
  <si>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</si>
  <si>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</si>
  <si>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</si>
  <si>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</si>
  <si>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</si>
  <si>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</si>
  <si>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</si>
  <si>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</si>
  <si>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</si>
  <si>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</si>
  <si>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</si>
  <si>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</si>
  <si>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</si>
  <si>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</si>
  <si>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</si>
  <si>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</si>
  <si>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</si>
  <si>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</si>
  <si>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</si>
  <si>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</si>
  <si>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</si>
  <si>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</si>
  <si>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</si>
  <si>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</si>
  <si>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</si>
  <si>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</si>
  <si>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</si>
  <si>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</si>
  <si>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</si>
  <si>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</si>
  <si>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</si>
  <si>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</si>
  <si>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</si>
  <si>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</si>
  <si>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</si>
  <si>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</si>
  <si>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</si>
  <si>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</si>
  <si>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</si>
  <si>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</si>
  <si>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</si>
  <si>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</si>
  <si>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</si>
  <si>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</si>
  <si>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</si>
  <si>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</si>
  <si>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</si>
  <si>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</si>
  <si>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</si>
  <si>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</si>
  <si>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</si>
  <si>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</si>
  <si>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</si>
  <si>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</si>
  <si>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</si>
  <si>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</si>
  <si>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</si>
  <si>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</si>
  <si>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</si>
  <si>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</si>
  <si>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</si>
  <si>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</si>
  <si>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</si>
  <si>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</si>
  <si>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</si>
  <si>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</si>
  <si>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</si>
  <si>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</si>
  <si>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</si>
  <si>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</si>
  <si>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</si>
  <si>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</si>
  <si>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</si>
  <si>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</si>
  <si>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</si>
  <si>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</si>
  <si>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</si>
  <si>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</si>
  <si>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</si>
  <si>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</si>
  <si>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</si>
  <si>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</si>
  <si>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</si>
  <si>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</si>
  <si>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</si>
  <si>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</si>
  <si>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</si>
  <si>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</si>
  <si>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</si>
  <si>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</si>
  <si>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</si>
  <si>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</si>
  <si>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</si>
  <si>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</si>
  <si>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</si>
  <si>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</si>
  <si>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</si>
  <si>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</si>
  <si>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</si>
  <si>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</si>
  <si>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</si>
  <si>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</si>
  <si>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</si>
  <si>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</si>
  <si>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</si>
  <si>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</si>
  <si>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</si>
  <si>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</si>
  <si>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</si>
  <si>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</si>
  <si>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</si>
  <si>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</si>
  <si>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</si>
  <si>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</si>
  <si>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</si>
  <si>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</si>
  <si>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</si>
  <si>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</si>
  <si>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</si>
  <si>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</si>
  <si>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</si>
  <si>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</si>
  <si>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</si>
  <si>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</si>
  <si>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</si>
  <si>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</si>
  <si>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</si>
  <si>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</si>
  <si>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</si>
  <si>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</si>
  <si>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</si>
  <si>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</si>
  <si>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</si>
  <si>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</si>
  <si>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</si>
  <si>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</si>
  <si>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</si>
  <si>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</si>
  <si>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</si>
  <si>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</si>
  <si>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</si>
  <si>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</si>
  <si>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</si>
  <si>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</si>
  <si>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</si>
  <si>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</si>
  <si>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</si>
  <si>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</si>
  <si>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</si>
  <si>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</si>
  <si>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</si>
  <si>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</si>
  <si>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</si>
  <si>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</si>
  <si>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</si>
  <si>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</si>
  <si>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</si>
  <si>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</si>
  <si>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</si>
  <si>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</si>
  <si>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</si>
  <si>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</si>
  <si>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</si>
  <si>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</si>
  <si>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</si>
  <si>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</si>
  <si>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</si>
  <si>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</si>
  <si>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</si>
  <si>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</si>
  <si>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</si>
  <si>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</si>
  <si>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</si>
  <si>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</si>
  <si>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</si>
  <si>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</si>
  <si>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</si>
  <si>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</si>
  <si>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</si>
  <si>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</si>
  <si>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</si>
  <si>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</si>
  <si>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</si>
  <si>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</si>
  <si>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</si>
  <si>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</si>
  <si>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</si>
  <si>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</si>
  <si>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</si>
  <si>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</si>
  <si>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</si>
  <si>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</si>
  <si>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</si>
  <si>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</si>
  <si>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</si>
  <si>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</si>
  <si>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</si>
  <si>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</si>
  <si>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</si>
  <si>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</si>
  <si>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</si>
  <si>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</si>
  <si>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</si>
  <si>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</si>
  <si>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</si>
  <si>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</si>
  <si>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</si>
  <si>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</si>
  <si>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</si>
  <si>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</si>
  <si>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</si>
  <si>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</si>
  <si>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</si>
  <si>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</si>
  <si>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</si>
  <si>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</si>
  <si>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</si>
  <si>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</si>
  <si>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</si>
  <si>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</si>
  <si>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</si>
  <si>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</si>
  <si>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</si>
  <si>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</si>
  <si>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</si>
  <si>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</si>
  <si>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</si>
  <si>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</si>
  <si>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</si>
  <si>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</si>
  <si>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</si>
  <si>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</si>
  <si>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</si>
  <si>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</si>
  <si>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</si>
  <si>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</si>
  <si>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</si>
  <si>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</si>
  <si>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</si>
  <si>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</si>
  <si>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</si>
  <si>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</si>
  <si>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</si>
  <si>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</si>
  <si>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</si>
  <si>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</si>
  <si>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</si>
  <si>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</si>
  <si>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</si>
  <si>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</si>
  <si>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</si>
  <si>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</si>
  <si>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</si>
  <si>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</si>
  <si>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</si>
  <si>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</si>
  <si>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</si>
  <si>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</si>
  <si>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</si>
  <si>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</si>
  <si>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</si>
  <si>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</si>
  <si>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</si>
  <si>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</si>
  <si>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</si>
  <si>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</si>
  <si>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</si>
  <si>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</si>
  <si>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</si>
  <si>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</si>
  <si>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</si>
  <si>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</si>
  <si>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</si>
  <si>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</si>
  <si>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</si>
  <si>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</si>
  <si>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</si>
  <si>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</si>
  <si>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</si>
  <si>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</si>
  <si>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</si>
  <si>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</si>
  <si>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</si>
  <si>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</si>
  <si>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</si>
  <si>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</si>
  <si>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</si>
  <si>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</si>
  <si>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</si>
  <si>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</si>
  <si>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</si>
  <si>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</si>
  <si>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</si>
  <si>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</si>
  <si>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</si>
  <si>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</si>
  <si>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</si>
  <si>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</si>
  <si>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</si>
  <si>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</si>
  <si>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</si>
  <si>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</si>
  <si>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</si>
  <si>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</si>
  <si>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</si>
  <si>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</si>
  <si>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</si>
  <si>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</si>
  <si>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</si>
  <si>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</si>
  <si>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</si>
  <si>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</si>
  <si>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</si>
  <si>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</si>
  <si>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</si>
  <si>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</si>
  <si>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</si>
  <si>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</si>
  <si>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</si>
  <si>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</si>
  <si>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</si>
  <si>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</si>
  <si>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</si>
  <si>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</si>
  <si>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</si>
  <si>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</si>
  <si>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</si>
  <si>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</si>
  <si>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</si>
  <si>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</si>
  <si>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</si>
  <si>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</si>
  <si>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</si>
  <si>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</si>
  <si>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</si>
  <si>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</si>
  <si>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</si>
  <si>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</si>
  <si>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</si>
  <si>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</si>
  <si>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</si>
  <si>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</si>
  <si>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</si>
  <si>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</si>
  <si>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</si>
  <si>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</si>
  <si>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</si>
  <si>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</si>
  <si>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</si>
  <si>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</si>
  <si>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</si>
  <si>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</si>
  <si>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</si>
  <si>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</si>
  <si>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</si>
  <si>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</si>
  <si>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</si>
  <si>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</si>
  <si>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</si>
  <si>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</si>
  <si>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</si>
  <si>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</si>
  <si>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</si>
  <si>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</si>
  <si>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</si>
  <si>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</si>
  <si>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</si>
  <si>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</si>
  <si>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</si>
  <si>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</si>
  <si>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</si>
  <si>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</si>
  <si>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</si>
  <si>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</si>
  <si>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</si>
  <si>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</si>
  <si>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</si>
  <si>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</si>
  <si>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</si>
  <si>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</si>
  <si>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</si>
  <si>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</si>
  <si>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</si>
  <si>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</si>
  <si>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</si>
  <si>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</si>
  <si>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</si>
  <si>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</si>
  <si>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</si>
  <si>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</si>
  <si>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</si>
  <si>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</si>
  <si>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</si>
  <si>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</si>
  <si>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</si>
  <si>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</si>
  <si>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</si>
  <si>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</si>
  <si>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</si>
  <si>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</si>
  <si>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</si>
  <si>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</si>
  <si>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</si>
  <si>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</si>
  <si>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</si>
  <si>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</si>
  <si>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</si>
  <si>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</si>
  <si>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</si>
  <si>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</si>
  <si>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</si>
  <si>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</si>
  <si>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</si>
  <si>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</si>
  <si>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</si>
  <si>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</si>
  <si>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</si>
  <si>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</si>
  <si>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</si>
  <si>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</si>
  <si>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</si>
  <si>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</si>
  <si>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</si>
  <si>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</si>
  <si>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</si>
  <si>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</si>
  <si>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</si>
  <si>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</si>
  <si>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</si>
  <si>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</si>
  <si>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</si>
  <si>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</si>
  <si>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</si>
  <si>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</si>
  <si>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</si>
  <si>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</si>
  <si>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</si>
  <si>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</si>
  <si>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</si>
  <si>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</si>
  <si>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</si>
  <si>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</si>
  <si>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</si>
  <si>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</si>
  <si>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</si>
  <si>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</si>
  <si>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</si>
  <si>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</si>
  <si>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</si>
  <si>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</si>
  <si>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</si>
  <si>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</si>
  <si>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</si>
  <si>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</si>
  <si>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</si>
  <si>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</si>
  <si>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</si>
  <si>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</si>
  <si>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</si>
  <si>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</si>
  <si>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</si>
  <si>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</si>
  <si>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</si>
  <si>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</si>
  <si>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</si>
  <si>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</si>
  <si>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</si>
  <si>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</si>
  <si>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</si>
  <si>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</si>
  <si>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</si>
  <si>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</si>
  <si>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</si>
  <si>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</si>
  <si>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</si>
  <si>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</si>
  <si>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</si>
  <si>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</si>
  <si>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</si>
  <si>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</si>
  <si>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</si>
  <si>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</si>
  <si>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</si>
  <si>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</si>
  <si>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</si>
  <si>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</si>
  <si>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</si>
  <si>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</si>
  <si>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</si>
  <si>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</si>
  <si>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</si>
  <si>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</si>
  <si>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</si>
  <si>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</si>
  <si>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</si>
  <si>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</si>
  <si>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</si>
  <si>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</si>
  <si>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</si>
  <si>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</si>
  <si>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</si>
  <si>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</si>
  <si>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</si>
  <si>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</si>
  <si>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</si>
  <si>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</si>
  <si>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</si>
  <si>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</si>
  <si>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</si>
  <si>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</si>
  <si>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</si>
  <si>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</si>
  <si>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</si>
  <si>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</si>
  <si>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</si>
  <si>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</si>
  <si>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</si>
  <si>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</si>
  <si>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</si>
  <si>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</si>
  <si>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</si>
  <si>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</si>
  <si>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</si>
  <si>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</si>
  <si>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</si>
  <si>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</si>
  <si>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</si>
  <si>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</si>
  <si>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</si>
  <si>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</si>
  <si>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</si>
  <si>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</si>
  <si>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</si>
  <si>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</si>
  <si>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</si>
  <si>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</si>
  <si>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</si>
  <si>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</si>
  <si>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</si>
  <si>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</si>
  <si>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</si>
  <si>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</si>
  <si>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</si>
  <si>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</si>
  <si>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</si>
  <si>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</si>
  <si>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</si>
  <si>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</si>
  <si>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</si>
  <si>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</si>
  <si>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</si>
  <si>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</si>
  <si>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</si>
  <si>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</si>
  <si>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</si>
  <si>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</si>
  <si>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</si>
  <si>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</si>
  <si>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</si>
  <si>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</si>
  <si>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</si>
  <si>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</si>
  <si>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</si>
  <si>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</si>
  <si>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</si>
  <si>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</si>
  <si>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</si>
  <si>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</si>
  <si>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</si>
  <si>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</si>
  <si>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</si>
  <si>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</si>
  <si>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</si>
  <si>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</si>
  <si>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</si>
  <si>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</si>
  <si>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</si>
  <si>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</si>
  <si>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</si>
  <si>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</si>
  <si>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</si>
  <si>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</si>
  <si>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</si>
  <si>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</si>
  <si>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</si>
  <si>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</si>
  <si>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</si>
  <si>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</si>
  <si>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</si>
  <si>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</si>
  <si>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</si>
  <si>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</si>
  <si>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</si>
  <si>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</si>
  <si>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</si>
  <si>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</si>
  <si>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</si>
  <si>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</si>
  <si>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</si>
  <si>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</si>
  <si>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</si>
  <si>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</si>
  <si>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</si>
  <si>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</si>
  <si>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</si>
  <si>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</si>
  <si>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</si>
  <si>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</si>
  <si>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</si>
  <si>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</si>
  <si>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</si>
  <si>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</si>
  <si>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</si>
  <si>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</si>
  <si>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</si>
  <si>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</si>
  <si>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</si>
  <si>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</si>
  <si>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</si>
  <si>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</si>
  <si>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</si>
  <si>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</si>
  <si>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</si>
  <si>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</si>
  <si>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</si>
  <si>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</si>
  <si>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</si>
  <si>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</si>
  <si>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</si>
  <si>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</si>
  <si>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</si>
  <si>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</si>
  <si>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</si>
  <si>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</si>
  <si>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</si>
  <si>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</si>
  <si>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</si>
  <si>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</si>
  <si>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</si>
  <si>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</si>
  <si>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</si>
  <si>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</si>
  <si>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</si>
  <si>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</si>
  <si>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</si>
  <si>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</si>
  <si>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</si>
  <si>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</si>
  <si>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</si>
  <si>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</si>
  <si>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</si>
  <si>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</si>
  <si>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</si>
  <si>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</si>
  <si>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</si>
  <si>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</si>
  <si>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</si>
  <si>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</si>
  <si>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</si>
  <si>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</si>
  <si>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</si>
  <si>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</si>
  <si>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</si>
  <si>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</si>
  <si>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</si>
  <si>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</si>
  <si>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</si>
  <si>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</si>
  <si>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</si>
  <si>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</si>
  <si>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</si>
  <si>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</si>
  <si>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</si>
  <si>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</si>
  <si>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</si>
  <si>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</si>
  <si>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</si>
  <si>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</si>
  <si>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</si>
  <si>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</si>
  <si>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</si>
  <si>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</si>
  <si>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</si>
  <si>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</si>
  <si>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</si>
  <si>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</si>
  <si>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</si>
  <si>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</si>
  <si>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</si>
  <si>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</si>
  <si>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</si>
  <si>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</si>
  <si>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</si>
  <si>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</si>
  <si>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</si>
  <si>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</si>
  <si>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</si>
  <si>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</si>
  <si>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</si>
  <si>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</si>
  <si>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</si>
  <si>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</si>
  <si>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</si>
  <si>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</si>
  <si>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</si>
  <si>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</si>
  <si>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</si>
  <si>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</si>
  <si>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</si>
  <si>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</si>
  <si>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</si>
  <si>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</si>
  <si>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</si>
  <si>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</si>
  <si>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</si>
  <si>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</si>
  <si>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</si>
  <si>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</si>
  <si>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</si>
  <si>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</si>
  <si>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</si>
  <si>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</si>
  <si>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</si>
  <si>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</si>
  <si>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</si>
  <si>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</si>
  <si>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</si>
  <si>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</si>
  <si>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</si>
  <si>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</si>
  <si>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</si>
  <si>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</si>
  <si>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</si>
  <si>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</si>
  <si>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</si>
  <si>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</si>
  <si>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</si>
  <si>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</si>
  <si>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</si>
  <si>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</si>
  <si>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</si>
  <si>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</si>
  <si>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</si>
  <si>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</si>
  <si>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</si>
  <si>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</si>
  <si>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</si>
  <si>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</si>
  <si>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</si>
  <si>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</si>
  <si>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</si>
  <si>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</si>
  <si>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</si>
  <si>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</si>
  <si>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</si>
  <si>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</si>
  <si>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</si>
  <si>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</si>
  <si>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</si>
  <si>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</si>
  <si>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</si>
  <si>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</si>
  <si>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</si>
  <si>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</si>
  <si>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</si>
  <si>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</si>
  <si>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</si>
  <si>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</si>
  <si>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</si>
  <si>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</si>
  <si>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</si>
  <si>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</si>
  <si>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</si>
  <si>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</si>
  <si>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</si>
  <si>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</si>
  <si>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</si>
  <si>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</si>
  <si>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</si>
  <si>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</si>
  <si>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</si>
  <si>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</si>
  <si>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</si>
  <si>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</si>
  <si>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</si>
  <si>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</si>
  <si>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</si>
  <si>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</si>
  <si>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</si>
  <si>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</si>
  <si>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</si>
  <si>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</si>
  <si>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</si>
  <si>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</si>
  <si>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</si>
  <si>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</si>
  <si>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</si>
  <si>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</si>
  <si>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</si>
  <si>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</si>
  <si>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</si>
  <si>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</si>
  <si>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</si>
  <si>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</si>
  <si>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</si>
  <si>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</si>
  <si>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</si>
  <si>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</si>
  <si>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</si>
  <si>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</si>
  <si>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</si>
  <si>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</si>
  <si>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</si>
  <si>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</si>
  <si>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</si>
  <si>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</si>
  <si>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</si>
  <si>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</si>
  <si>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</si>
  <si>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</si>
  <si>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</si>
  <si>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</si>
  <si>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</si>
  <si>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</si>
  <si>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</si>
  <si>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</si>
  <si>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</si>
  <si>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</si>
  <si>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</si>
  <si>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</si>
  <si>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</si>
  <si>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</si>
  <si>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</si>
  <si>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</si>
  <si>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</si>
  <si>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</si>
  <si>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</si>
  <si>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</si>
  <si>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</si>
  <si>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</si>
  <si>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</si>
  <si>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</si>
  <si>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</si>
  <si>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</si>
  <si>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</si>
  <si>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</si>
  <si>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</si>
  <si>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</si>
  <si>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</si>
  <si>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</si>
  <si>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</si>
  <si>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</si>
  <si>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</si>
  <si>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</si>
  <si>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</si>
  <si>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</si>
  <si>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</si>
  <si>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</si>
  <si>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</si>
  <si>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</si>
  <si>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</si>
  <si>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</si>
  <si>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</si>
  <si>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</si>
  <si>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</si>
  <si>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</si>
  <si>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</si>
  <si>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</si>
  <si>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</si>
  <si>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</si>
  <si>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</si>
  <si>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</si>
  <si>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</si>
  <si>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</si>
  <si>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</si>
  <si>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</si>
  <si>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</si>
  <si>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</si>
  <si>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</si>
  <si>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</si>
  <si>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</si>
  <si>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</si>
  <si>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</si>
  <si>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</si>
  <si>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</si>
  <si>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</si>
  <si>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</si>
  <si>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</si>
  <si>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</si>
  <si>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</si>
  <si>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</si>
  <si>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</si>
  <si>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</si>
  <si>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</si>
  <si>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</si>
  <si>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</si>
  <si>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</si>
  <si>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</si>
  <si>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</si>
  <si>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</si>
  <si>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</si>
  <si>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</si>
  <si>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</si>
  <si>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</si>
  <si>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</si>
  <si>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</si>
  <si>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</si>
  <si>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</si>
  <si>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</si>
  <si>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</si>
  <si>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</si>
  <si>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</si>
  <si>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</si>
  <si>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</si>
  <si>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</si>
  <si>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</si>
  <si>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</si>
  <si>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</si>
  <si>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</si>
  <si>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</si>
  <si>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</si>
  <si>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</si>
  <si>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</si>
  <si>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</si>
  <si>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</si>
  <si>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</si>
  <si>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</si>
  <si>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</si>
  <si>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</si>
  <si>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</si>
  <si>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</si>
  <si>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</si>
  <si>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</si>
  <si>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</si>
  <si>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</si>
  <si>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</si>
  <si>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</si>
  <si>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</si>
  <si>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</si>
  <si>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</si>
  <si>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</si>
  <si>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</si>
  <si>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</si>
  <si>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</si>
  <si>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</si>
  <si>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</si>
  <si>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</si>
  <si>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</si>
  <si>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</si>
  <si>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</si>
  <si>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</si>
  <si>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</si>
  <si>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</si>
  <si>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</si>
  <si>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</si>
  <si>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</si>
  <si>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</si>
  <si>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</si>
  <si>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</si>
  <si>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</si>
  <si>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</si>
  <si>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</si>
  <si>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</si>
  <si>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</si>
  <si>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</si>
  <si>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</si>
  <si>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</si>
  <si>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</si>
  <si>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</si>
  <si>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</si>
  <si>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</si>
  <si>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</si>
  <si>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</si>
  <si>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</si>
  <si>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</si>
  <si>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</si>
  <si>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</si>
  <si>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</si>
  <si>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</si>
  <si>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</si>
  <si>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</si>
  <si>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</si>
  <si>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</si>
  <si>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</si>
  <si>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</si>
  <si>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</si>
  <si>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</si>
  <si>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</si>
  <si>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</si>
  <si>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</si>
  <si>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</si>
  <si>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</si>
  <si>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</si>
  <si>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</si>
  <si>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</si>
  <si>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</si>
  <si>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</si>
  <si>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</si>
  <si>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</si>
  <si>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</si>
  <si>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</si>
  <si>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</si>
  <si>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</si>
  <si>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</si>
  <si>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</si>
  <si>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</si>
  <si>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</si>
  <si>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</si>
  <si>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</si>
  <si>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</si>
  <si>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</si>
  <si>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</si>
  <si>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</si>
  <si>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</si>
  <si>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</si>
  <si>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</si>
  <si>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</si>
  <si>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</si>
  <si>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</si>
  <si>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</si>
  <si>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</si>
  <si>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</si>
  <si>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</si>
  <si>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</si>
  <si>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</si>
  <si>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</si>
  <si>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</si>
  <si>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</si>
  <si>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</si>
  <si>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</si>
  <si>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</si>
  <si>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</si>
  <si>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</si>
  <si>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</si>
  <si>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</si>
  <si>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</si>
  <si>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</si>
  <si>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</si>
  <si>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</si>
  <si>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</si>
  <si>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</si>
  <si>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</si>
  <si>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</si>
  <si>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</si>
  <si>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</si>
  <si>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</si>
  <si>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</si>
  <si>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</si>
  <si>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</si>
  <si>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</si>
  <si>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</si>
  <si>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</si>
  <si>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</si>
  <si>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</si>
  <si>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</si>
  <si>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</si>
  <si>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</si>
  <si>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</si>
  <si>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</si>
  <si>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</si>
  <si>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</si>
  <si>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</si>
  <si>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</si>
  <si>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</si>
  <si>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</si>
  <si>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</si>
  <si>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</si>
  <si>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</si>
  <si>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</si>
  <si>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</si>
  <si>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</si>
  <si>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</si>
  <si>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</si>
  <si>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</si>
  <si>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</si>
  <si>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</si>
  <si>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</si>
  <si>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</si>
  <si>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</si>
  <si>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</si>
  <si>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</si>
  <si>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</si>
  <si>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</si>
  <si>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</si>
  <si>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</si>
  <si>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</si>
  <si>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</si>
  <si>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</si>
  <si>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</si>
  <si>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</si>
  <si>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</si>
  <si>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</si>
  <si>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</si>
  <si>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</si>
  <si>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</si>
  <si>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</si>
  <si>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</si>
  <si>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</si>
  <si>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</si>
  <si>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</si>
  <si>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</si>
  <si>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</si>
  <si>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</si>
  <si>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</si>
  <si>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</si>
  <si>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</si>
  <si>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</si>
  <si>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</si>
  <si>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</si>
  <si>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</si>
  <si>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</si>
  <si>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</si>
  <si>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</si>
  <si>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</si>
  <si>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</si>
  <si>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</si>
  <si>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</si>
  <si>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</si>
  <si>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</si>
  <si>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</si>
  <si>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</si>
  <si>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</si>
  <si>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</si>
  <si>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</si>
  <si>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</si>
  <si>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</si>
  <si>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</si>
  <si>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</si>
  <si>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</si>
  <si>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</si>
  <si>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</si>
  <si>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</si>
  <si>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</si>
  <si>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</si>
  <si>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</si>
  <si>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</si>
  <si>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</si>
  <si>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</si>
  <si>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</si>
  <si>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</si>
  <si>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</si>
  <si>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</si>
  <si>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</si>
  <si>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</si>
  <si>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</si>
  <si>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</si>
  <si>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</si>
  <si>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</si>
  <si>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</si>
  <si>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</si>
  <si>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</si>
  <si>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</si>
  <si>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</si>
  <si>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</si>
  <si>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</si>
  <si>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</si>
  <si>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</si>
  <si>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</si>
  <si>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</si>
  <si>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</si>
  <si>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</si>
  <si>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</si>
  <si>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</si>
  <si>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</si>
  <si>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</si>
  <si>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</si>
  <si>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</si>
  <si>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</si>
  <si>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</si>
  <si>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</si>
  <si>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</si>
  <si>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</si>
  <si>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</si>
  <si>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</si>
  <si>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</si>
  <si>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</si>
  <si>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</si>
  <si>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</si>
  <si>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</si>
  <si>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</si>
  <si>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</si>
  <si>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</si>
  <si>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</si>
  <si>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</si>
  <si>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</si>
  <si>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</si>
  <si>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</si>
  <si>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</si>
  <si>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</si>
  <si>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</si>
  <si>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</si>
  <si>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</si>
  <si>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</si>
  <si>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</si>
  <si>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</si>
  <si>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</si>
  <si>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</si>
  <si>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</si>
  <si>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</si>
  <si>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</si>
  <si>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</si>
  <si>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</si>
  <si>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</si>
  <si>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</si>
  <si>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</si>
  <si>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</si>
  <si>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</si>
  <si>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</si>
  <si>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</si>
  <si>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</si>
  <si>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</si>
  <si>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</si>
  <si>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</si>
  <si>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</si>
  <si>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</si>
  <si>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</si>
  <si>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</si>
  <si>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</si>
  <si>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</si>
  <si>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</si>
  <si>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</si>
  <si>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</si>
  <si>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</si>
  <si>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</si>
  <si>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</si>
  <si>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</si>
  <si>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</si>
  <si>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</si>
  <si>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</si>
  <si>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</si>
  <si>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</si>
  <si>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</si>
  <si>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</si>
  <si>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</si>
  <si>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</si>
  <si>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</si>
  <si>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</si>
  <si>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</si>
  <si>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</si>
  <si>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</si>
  <si>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</si>
  <si>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</si>
  <si>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</si>
  <si>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</si>
  <si>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</si>
  <si>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</si>
  <si>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</si>
  <si>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</si>
  <si>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</si>
  <si>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</si>
  <si>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</si>
  <si>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</si>
  <si>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</si>
  <si>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</si>
  <si>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</si>
  <si>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</si>
  <si>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</si>
  <si>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</si>
  <si>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</si>
  <si>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</si>
  <si>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</si>
  <si>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</si>
  <si>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</si>
  <si>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</si>
  <si>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</si>
  <si>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</si>
  <si>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</si>
  <si>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</si>
  <si>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</si>
  <si>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</si>
  <si>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</si>
  <si>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</si>
  <si>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</si>
  <si>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</si>
  <si>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</si>
  <si>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</si>
  <si>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</si>
  <si>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</si>
  <si>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</si>
  <si>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</si>
  <si>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</si>
  <si>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</si>
  <si>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</si>
  <si>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</si>
  <si>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</si>
  <si>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</si>
  <si>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</si>
  <si>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</si>
  <si>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</si>
  <si>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</si>
  <si>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</si>
  <si>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</si>
  <si>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</si>
  <si>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</si>
  <si>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</si>
  <si>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</si>
  <si>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</si>
  <si>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</si>
  <si>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</si>
  <si>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</si>
  <si>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</si>
  <si>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</si>
  <si>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</si>
  <si>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</si>
  <si>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</si>
  <si>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</si>
  <si>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</si>
  <si>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</si>
  <si>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</si>
  <si>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</si>
  <si>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</si>
  <si>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</si>
  <si>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</si>
  <si>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</si>
  <si>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</si>
  <si>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</si>
  <si>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</si>
  <si>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</si>
  <si>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</si>
  <si>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</si>
  <si>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</si>
  <si>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</si>
  <si>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</si>
  <si>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</si>
  <si>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</si>
  <si>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</si>
  <si>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</si>
  <si>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</si>
  <si>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</si>
  <si>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</si>
  <si>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</si>
  <si>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</si>
  <si>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</si>
  <si>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</si>
  <si>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</si>
  <si>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</si>
  <si>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</si>
  <si>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</si>
  <si>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</si>
  <si>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</si>
  <si>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</si>
  <si>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</si>
  <si>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</si>
  <si>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</si>
  <si>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</si>
  <si>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</si>
  <si>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</si>
  <si>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</si>
  <si>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</si>
  <si>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</si>
  <si>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</si>
  <si>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</si>
  <si>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</si>
  <si>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</si>
  <si>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</si>
  <si>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</si>
  <si>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</si>
  <si>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</si>
  <si>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</si>
  <si>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</si>
  <si>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</si>
  <si>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</si>
  <si>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</si>
  <si>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</si>
  <si>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</si>
  <si>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</si>
  <si>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</si>
  <si>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</si>
  <si>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</si>
  <si>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</si>
  <si>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</si>
  <si>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</si>
  <si>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</si>
  <si>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</si>
  <si>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</si>
  <si>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</si>
  <si>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</si>
  <si>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</si>
  <si>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</si>
  <si>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</si>
  <si>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</si>
  <si>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</si>
  <si>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</si>
  <si>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</si>
  <si>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</si>
  <si>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</si>
  <si>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</si>
  <si>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</si>
  <si>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</si>
  <si>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</si>
  <si>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</si>
  <si>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</si>
  <si>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</si>
  <si>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</si>
  <si>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</si>
  <si>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</si>
  <si>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</si>
  <si>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</si>
  <si>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</si>
  <si>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</si>
  <si>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</si>
  <si>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</si>
  <si>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</si>
  <si>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</si>
  <si>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</si>
  <si>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</si>
  <si>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</si>
  <si>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</si>
  <si>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</si>
  <si>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</si>
  <si>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</si>
  <si>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</si>
  <si>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</si>
  <si>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</si>
  <si>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</si>
  <si>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</si>
  <si>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</si>
  <si>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</si>
  <si>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</si>
  <si>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</si>
  <si>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</si>
  <si>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</si>
  <si>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</si>
  <si>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</si>
  <si>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</si>
  <si>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</si>
  <si>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</si>
  <si>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</si>
  <si>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</si>
  <si>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</si>
  <si>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</si>
  <si>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</si>
  <si>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</si>
  <si>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</si>
  <si>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</si>
  <si>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</si>
  <si>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</si>
  <si>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</si>
  <si>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</si>
  <si>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</si>
  <si>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</si>
  <si>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</si>
  <si>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</si>
  <si>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</si>
  <si>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</si>
  <si>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</si>
  <si>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</si>
  <si>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</si>
  <si>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</si>
  <si>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</si>
  <si>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</si>
  <si>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</si>
  <si>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</si>
  <si>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</si>
  <si>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</si>
  <si>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</si>
  <si>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</si>
  <si>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</si>
  <si>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</si>
  <si>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</si>
  <si>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</si>
  <si>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</si>
  <si>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</si>
  <si>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</si>
  <si>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</si>
  <si>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</si>
  <si>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</si>
  <si>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</si>
  <si>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</si>
  <si>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</si>
  <si>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</si>
  <si>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</si>
  <si>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</si>
  <si>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</si>
  <si>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</si>
  <si>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</si>
  <si>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</si>
  <si>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</si>
  <si>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</si>
  <si>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</si>
  <si>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</si>
  <si>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</si>
  <si>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</si>
  <si>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</si>
  <si>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</si>
  <si>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</si>
  <si>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</si>
  <si>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</si>
  <si>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</si>
  <si>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</si>
  <si>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</si>
  <si>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</si>
  <si>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</si>
  <si>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</si>
  <si>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</si>
  <si>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</si>
  <si>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</si>
  <si>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</si>
  <si>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</si>
  <si>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</si>
  <si>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</si>
  <si>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</si>
  <si>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</si>
  <si>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</si>
  <si>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</si>
  <si>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</si>
  <si>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</si>
  <si>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</si>
  <si>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</si>
  <si>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</si>
  <si>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</si>
  <si>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</si>
  <si>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</si>
  <si>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</si>
  <si>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</si>
  <si>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</si>
  <si>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</si>
  <si>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</si>
  <si>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</si>
  <si>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</si>
  <si>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</si>
  <si>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</si>
  <si>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</si>
  <si>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</si>
  <si>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</si>
  <si>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</si>
  <si>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</si>
  <si>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</si>
  <si>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</si>
  <si>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</si>
  <si>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</si>
  <si>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</si>
  <si>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</si>
  <si>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</si>
  <si>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</si>
  <si>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</si>
  <si>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</si>
  <si>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</si>
  <si>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</si>
  <si>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</si>
  <si>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</si>
  <si>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</si>
  <si>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</si>
  <si>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</si>
  <si>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</si>
  <si>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</si>
  <si>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</si>
  <si>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</si>
  <si>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</si>
  <si>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</si>
  <si>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</si>
  <si>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</si>
  <si>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</si>
  <si>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</si>
  <si>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</si>
  <si>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</si>
  <si>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</si>
  <si>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</si>
  <si>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</si>
  <si>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</si>
  <si>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</si>
  <si>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</si>
  <si>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</si>
  <si>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</si>
  <si>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</si>
  <si>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</si>
  <si>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</si>
  <si>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</si>
  <si>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</si>
  <si>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</si>
  <si>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</si>
  <si>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</si>
  <si>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</si>
  <si>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</si>
  <si>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</si>
  <si>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</si>
  <si>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</si>
  <si>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</si>
  <si>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</si>
  <si>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</si>
  <si>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</si>
  <si>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</si>
  <si>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</si>
  <si>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</si>
  <si>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</si>
  <si>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</si>
  <si>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</si>
  <si>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</si>
  <si>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</si>
  <si>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</si>
  <si>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</si>
  <si>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</si>
  <si>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</si>
  <si>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</si>
  <si>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</si>
  <si>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</si>
  <si>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</si>
  <si>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</si>
  <si>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</si>
  <si>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</si>
  <si>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</si>
  <si>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</si>
  <si>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</si>
  <si>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</si>
  <si>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</si>
  <si>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</si>
  <si>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</si>
  <si>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</si>
  <si>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</si>
  <si>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</si>
  <si>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</si>
  <si>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</si>
  <si>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</si>
  <si>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</si>
  <si>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</si>
  <si>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</si>
  <si>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</si>
  <si>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</si>
  <si>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</si>
  <si>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</si>
  <si>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</si>
  <si>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</si>
  <si>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</si>
  <si>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</si>
  <si>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</si>
  <si>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</si>
  <si>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</si>
  <si>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</si>
  <si>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</si>
  <si>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</si>
  <si>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</si>
  <si>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</si>
  <si>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</si>
  <si>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</si>
  <si>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</si>
  <si>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</si>
  <si>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</si>
  <si>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</si>
  <si>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</si>
  <si>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</si>
  <si>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</si>
  <si>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</si>
  <si>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</si>
  <si>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</si>
  <si>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</si>
  <si>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</si>
  <si>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</si>
  <si>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</si>
  <si>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</si>
  <si>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</si>
  <si>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</si>
  <si>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</si>
  <si>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</si>
  <si>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</si>
  <si>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</si>
  <si>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</si>
  <si>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</si>
  <si>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</si>
  <si>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</si>
  <si>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</si>
  <si>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</si>
  <si>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</si>
  <si>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</si>
  <si>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</si>
  <si>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</si>
  <si>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</si>
  <si>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</si>
  <si>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</si>
  <si>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</si>
  <si>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</si>
  <si>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</si>
  <si>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</si>
  <si>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</si>
  <si>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</si>
  <si>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</si>
  <si>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</si>
  <si>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</si>
  <si>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</si>
  <si>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</si>
  <si>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</si>
  <si>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</si>
  <si>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</si>
  <si>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</si>
  <si>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</si>
  <si>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</si>
  <si>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</si>
  <si>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</si>
  <si>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</si>
  <si>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</si>
  <si>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</si>
  <si>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</si>
  <si>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</si>
  <si>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</si>
  <si>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</si>
  <si>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</si>
  <si>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</si>
  <si>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</si>
  <si>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</si>
  <si>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</si>
  <si>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</si>
  <si>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</si>
  <si>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</si>
  <si>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</si>
  <si>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</si>
  <si>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</si>
  <si>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</si>
  <si>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</si>
  <si>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</si>
  <si>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</si>
  <si>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</si>
  <si>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</si>
  <si>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</si>
  <si>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</si>
  <si>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</si>
  <si>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</si>
  <si>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</si>
  <si>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</si>
  <si>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</si>
  <si>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</si>
  <si>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</si>
  <si>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</si>
  <si>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</si>
  <si>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</si>
  <si>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</si>
  <si>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</si>
  <si>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</si>
  <si>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</si>
  <si>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</si>
  <si>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</si>
  <si>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</si>
  <si>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</si>
  <si>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</si>
  <si>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</si>
  <si>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</si>
  <si>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</si>
  <si>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</si>
  <si>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</si>
  <si>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</si>
  <si>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</si>
  <si>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</si>
  <si>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</si>
  <si>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</si>
  <si>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</si>
  <si>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</si>
  <si>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</si>
  <si>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</si>
  <si>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</si>
  <si>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</si>
  <si>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</si>
  <si>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</si>
  <si>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</si>
  <si>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</si>
  <si>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</si>
  <si>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</si>
  <si>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</si>
  <si>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</si>
  <si>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</si>
  <si>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</si>
  <si>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</si>
  <si>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</si>
  <si>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</si>
  <si>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</si>
  <si>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</si>
  <si>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</si>
  <si>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</si>
  <si>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</si>
  <si>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</si>
  <si>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</si>
  <si>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</si>
  <si>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</si>
  <si>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</si>
  <si>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</si>
  <si>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</si>
  <si>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</si>
  <si>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</si>
  <si>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</si>
  <si>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</si>
  <si>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</si>
  <si>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</si>
  <si>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</si>
  <si>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</si>
  <si>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</si>
  <si>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</si>
  <si>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</si>
  <si>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</si>
  <si>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</si>
  <si>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</si>
  <si>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</si>
  <si>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</si>
  <si>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</si>
  <si>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</si>
  <si>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</si>
  <si>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</si>
  <si>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</si>
  <si>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</si>
  <si>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</si>
  <si>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</si>
  <si>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</si>
  <si>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</si>
  <si>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</si>
  <si>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</si>
  <si>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</si>
  <si>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</si>
  <si>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</si>
  <si>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</si>
  <si>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</si>
  <si>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</si>
  <si>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</si>
  <si>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</si>
  <si>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</si>
  <si>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</si>
  <si>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</si>
  <si>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</si>
  <si>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</si>
  <si>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</si>
  <si>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</si>
  <si>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</si>
  <si>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</si>
  <si>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</si>
  <si>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</si>
  <si>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</si>
  <si>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</si>
  <si>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</si>
  <si>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</si>
  <si>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</si>
  <si>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</si>
  <si>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</si>
  <si>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</si>
  <si>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</si>
  <si>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</si>
  <si>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</si>
  <si>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</si>
  <si>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</si>
  <si>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</si>
  <si>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</si>
  <si>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</si>
  <si>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</si>
  <si>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</si>
  <si>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</si>
  <si>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</si>
  <si>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</si>
  <si>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</si>
  <si>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</si>
  <si>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</si>
  <si>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</si>
  <si>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</si>
  <si>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</si>
  <si>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</si>
  <si>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</si>
  <si>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</si>
  <si>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</si>
  <si>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</si>
  <si>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</si>
  <si>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</si>
  <si>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</si>
  <si>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</si>
  <si>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</si>
  <si>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</si>
  <si>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</si>
  <si>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</si>
  <si>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</si>
  <si>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</si>
  <si>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</si>
  <si>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</si>
  <si>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</si>
  <si>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</si>
  <si>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</si>
  <si>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</si>
  <si>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</si>
  <si>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</si>
  <si>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</si>
  <si>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</si>
  <si>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</si>
  <si>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</si>
  <si>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</si>
  <si>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</si>
  <si>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</si>
  <si>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</si>
  <si>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</si>
  <si>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</si>
  <si>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</si>
  <si>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</si>
  <si>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</si>
  <si>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</si>
  <si>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</si>
  <si>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</si>
  <si>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</si>
  <si>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</si>
  <si>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</si>
  <si>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</si>
  <si>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</si>
  <si>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</si>
  <si>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</si>
  <si>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</si>
  <si>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</si>
  <si>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</si>
  <si>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</si>
  <si>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</si>
  <si>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</si>
  <si>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</si>
  <si>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</si>
  <si>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</si>
  <si>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</si>
  <si>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</si>
  <si>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</si>
  <si>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</si>
  <si>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</si>
  <si>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</si>
  <si>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</si>
  <si>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</si>
  <si>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</si>
  <si>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</si>
  <si>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</si>
  <si>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</si>
  <si>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</si>
  <si>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</si>
  <si>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</si>
  <si>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</si>
  <si>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</si>
  <si>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</si>
  <si>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</si>
  <si>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</si>
  <si>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</si>
  <si>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</si>
  <si>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</si>
  <si>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</si>
  <si>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</si>
  <si>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</si>
  <si>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</si>
  <si>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</si>
  <si>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</si>
  <si>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</si>
  <si>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</si>
  <si>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</si>
  <si>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</si>
  <si>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</si>
  <si>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</si>
  <si>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</si>
  <si>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</si>
  <si>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</si>
  <si>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</si>
  <si>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</si>
  <si>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</si>
  <si>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</si>
  <si>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</si>
  <si>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</si>
  <si>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</si>
  <si>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</si>
  <si>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</si>
  <si>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</si>
  <si>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Argens</t>
  </si>
  <si>
    <t xml:space="preserve">Chateauvert</t>
  </si>
  <si>
    <t xml:space="preserve">06202750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</si>
  <si>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</si>
  <si>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</si>
  <si>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</si>
  <si>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</si>
  <si>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</si>
  <si>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</si>
  <si>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</si>
  <si>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</si>
  <si>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</si>
  <si>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</si>
  <si>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</si>
  <si>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</si>
  <si>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</si>
  <si>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</si>
  <si>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</si>
  <si>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</si>
  <si>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</si>
  <si>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</si>
  <si>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</si>
  <si>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</si>
  <si>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</si>
  <si>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</si>
  <si>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</si>
  <si>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</si>
  <si>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</si>
  <si>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</si>
  <si>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</si>
  <si>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</si>
  <si>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</si>
  <si>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</si>
  <si>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</si>
  <si>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</si>
  <si>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</si>
  <si>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</si>
  <si>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</si>
  <si>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</si>
  <si>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</si>
  <si>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</si>
  <si>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</si>
  <si>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</si>
  <si>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</si>
  <si>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</si>
  <si>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</si>
  <si>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</si>
  <si>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</si>
  <si>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</si>
  <si>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</si>
  <si>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</si>
  <si>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</si>
  <si>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</si>
  <si>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</si>
  <si>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(2,041 %)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</si>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</sst>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41513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11.0833333333333</v>
      </c>
      <c r="M5" s="323"/>
      <c r="N5" s="324" t="s">
        <v>359</v>
      </c>
      <c r="O5" s="325" t="n">
        <v>10.3</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51</v>
      </c>
      <c r="C7" s="337" t="n">
        <v>49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v>
      </c>
      <c r="O8" s="354" t="n">
        <f aca="false">IF(ISERROR(AVERAGE(J23:J82)),"      -",AVERAGE(J23:J82))</f>
        <v>1.77777777777778</v>
      </c>
      <c r="P8" s="355"/>
      <c r="Q8" s="280"/>
      <c r="R8" s="280"/>
      <c r="S8" s="280"/>
      <c r="T8" s="280"/>
      <c r="U8" s="280"/>
      <c r="V8" s="280"/>
      <c r="W8" s="292"/>
      <c r="X8" s="293"/>
    </row>
    <row r="9" customFormat="false" ht="13.8" hidden="false" customHeight="false" outlineLevel="0" collapsed="false">
      <c r="A9" s="313" t="s">
        <v>2635</v>
      </c>
      <c r="B9" s="356" t="n">
        <v>2.82</v>
      </c>
      <c r="C9" s="357" t="n">
        <v>1.23</v>
      </c>
      <c r="D9" s="358"/>
      <c r="E9" s="358"/>
      <c r="F9" s="359" t="n">
        <f aca="false">($B9*$B$7+$C9*$C$7)/100</f>
        <v>2.0409</v>
      </c>
      <c r="G9" s="360"/>
      <c r="H9" s="361"/>
      <c r="I9" s="362"/>
      <c r="J9" s="363"/>
      <c r="K9" s="343"/>
      <c r="L9" s="364"/>
      <c r="M9" s="353" t="s">
        <v>2636</v>
      </c>
      <c r="N9" s="354" t="n">
        <f aca="false">IF(ISERROR(STDEVP(I23:I82)),"     -",STDEVP(I23:I82))</f>
        <v>4.85340659285368</v>
      </c>
      <c r="O9" s="354" t="n">
        <f aca="false">IF(ISERROR(STDEVP(J23:J82)),"      -",STDEVP(J23:J82))</f>
        <v>0.415739709641549</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2</v>
      </c>
      <c r="O10" s="376" t="n">
        <f aca="false">MIN(J23:J82)</f>
        <v>1</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16</v>
      </c>
      <c r="O11" s="376" t="n">
        <f aca="false">MAX(J23:J82)</f>
        <v>2</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6</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1</v>
      </c>
      <c r="L13" s="386"/>
      <c r="M13" s="397" t="s">
        <v>2649</v>
      </c>
      <c r="N13" s="398" t="n">
        <f aca="false">COUNTIF(F23:F82,"&gt;0")</f>
        <v>9</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9</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2</v>
      </c>
      <c r="L15" s="386"/>
      <c r="M15" s="407" t="s">
        <v>2655</v>
      </c>
      <c r="N15" s="408" t="n">
        <f aca="false">COUNTIF(J23:J82,"=1")</f>
        <v>2</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7</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2.825</v>
      </c>
      <c r="C20" s="436" t="n">
        <f aca="false">SUM(C23:C82)</f>
        <v>1.225</v>
      </c>
      <c r="D20" s="437"/>
      <c r="E20" s="438" t="s">
        <v>2661</v>
      </c>
      <c r="F20" s="439" t="n">
        <f aca="false">($B20*$B$7+$C20*$C$7)/100</f>
        <v>2.041</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1.44075</v>
      </c>
      <c r="C21" s="449" t="n">
        <f aca="false">C20*C7/100</f>
        <v>0.60025</v>
      </c>
      <c r="D21" s="381" t="str">
        <f aca="false">IF(F21=0,"",IF((ABS(F21-F19))&gt;(0.2*F21),CONCATENATE(" rec. par taxa (",F21," %) supérieur à 20 % !"),""))</f>
        <v> rec. par taxa (2,041 %) supérieur à 20 % !</v>
      </c>
      <c r="E21" s="450" t="str">
        <f aca="false">IF(F21=0,"",IF((ABS(F21-F19))&gt;(0.2*F21),CONCATENATE("ATTENTION : écart entre rec. par grp (",F19," %) ","et",""),""))</f>
        <v>ATTENTION : écart entre rec. par grp (0 %) et</v>
      </c>
      <c r="F21" s="451" t="n">
        <f aca="false">B21+C21</f>
        <v>2.041</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59</v>
      </c>
      <c r="B23" s="475" t="n">
        <v>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0.255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0.255</v>
      </c>
      <c r="R23" s="487" t="n">
        <f aca="false">IF(OR(ISTEXT(H23),Q23=0),"",IF(Q23&lt;0.1,1,IF(Q23&lt;1,2,IF(Q23&lt;10,3,IF(Q23&lt;50,4,IF(Q23&gt;=50,5,""))))))</f>
        <v>2</v>
      </c>
      <c r="S23" s="487" t="n">
        <f aca="false">IF(ISERROR(R23*I23),0,R23*I23)</f>
        <v>26</v>
      </c>
      <c r="T23" s="487" t="n">
        <f aca="false">IF(ISERROR(R23*I23*J23),0,R23*I23*J23)</f>
        <v>52</v>
      </c>
      <c r="U23" s="487" t="n">
        <f aca="false">IF(ISERROR(R23*J23),0,R23*J23)</f>
        <v>4</v>
      </c>
      <c r="V23" s="488" t="str">
        <f aca="false">IF(AND(A23="",F23=0),"",IF(F23=0,"Il manque le(s) % de rec. !",""))</f>
        <v/>
      </c>
      <c r="W23" s="489"/>
      <c r="X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3.2" hidden="false" customHeight="false" outlineLevel="0" collapsed="false">
      <c r="A24" s="493" t="s">
        <v>63</v>
      </c>
      <c r="B24" s="494" t="n">
        <v>0.01</v>
      </c>
      <c r="C24" s="495" t="n">
        <v>0.005</v>
      </c>
      <c r="D24" s="477" t="str">
        <f aca="false">IF(ISERROR(VLOOKUP($A24,'liste reference'!$A$7:$D$904,2,0)),IF(ISERROR(VLOOKUP($A24,'liste reference'!$B$7:$D$904,1,0)),"",VLOOKUP($A24,'liste reference'!$B$7:$D$904,1,0)),VLOOKUP($A24,'liste reference'!$A$7:$D$904,2,0))</f>
        <v>Bangia sp.</v>
      </c>
      <c r="E24" s="496" t="e">
        <f aca="false">IF(D24="",0,VLOOKUP(D24,D$22:D23,1,0))</f>
        <v>#N/A</v>
      </c>
      <c r="F24" s="497" t="n">
        <f aca="false">($B24*$B$7+$C24*$C$7)/100</f>
        <v>0.00755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Bangia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1153</v>
      </c>
      <c r="Q24" s="486" t="n">
        <f aca="false">IF(ISTEXT(H24),"",(B24*$B$7/100)+(C24*$C$7/100))</f>
        <v>0.00755</v>
      </c>
      <c r="R24" s="487" t="n">
        <f aca="false">IF(OR(ISTEXT(H24),Q24=0),"",IF(Q24&lt;0.1,1,IF(Q24&lt;1,2,IF(Q24&lt;10,3,IF(Q24&lt;50,4,IF(Q24&gt;=50,5,""))))))</f>
        <v>1</v>
      </c>
      <c r="S24" s="487" t="n">
        <f aca="false">IF(ISERROR(R24*I24),0,R24*I24)</f>
        <v>10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BANSPX</v>
      </c>
      <c r="Z24" s="280" t="n">
        <f aca="false">IF(ISERROR(MATCH(A24,'liste reference'!$A$8:$A$904,0)),IF(ISERROR(MATCH(A24,'liste reference'!$B$8:$B$904,0)),"",(MATCH(A24,'liste reference'!$B$8:$B$904,0))),(MATCH(A24,'liste reference'!$A$8:$A$904,0)))</f>
        <v>6</v>
      </c>
      <c r="AA24" s="491"/>
      <c r="AB24" s="492"/>
      <c r="AC24" s="492"/>
      <c r="BB24" s="280" t="n">
        <f aca="false">IF(A24="","",1)</f>
        <v>1</v>
      </c>
    </row>
    <row r="25" customFormat="false" ht="13.2" hidden="false" customHeight="false" outlineLevel="0" collapsed="false">
      <c r="A25" s="493" t="s">
        <v>69</v>
      </c>
      <c r="B25" s="494" t="n">
        <v>0.01</v>
      </c>
      <c r="C25" s="495"/>
      <c r="D25" s="477" t="str">
        <f aca="false">IF(ISERROR(VLOOKUP($A25,'liste reference'!$A$7:$D$904,2,0)),IF(ISERROR(VLOOKUP($A25,'liste reference'!$B$7:$D$904,1,0)),"",VLOOKUP($A25,'liste reference'!$B$7:$D$904,1,0)),VLOOKUP($A25,'liste reference'!$A$7:$D$904,2,0))</f>
        <v>Batrachospermum sp.</v>
      </c>
      <c r="E25" s="496" t="e">
        <f aca="false">IF(D25="",0,VLOOKUP(D25,D$22:D24,1,0))</f>
        <v>#N/A</v>
      </c>
      <c r="F25" s="497" t="n">
        <f aca="false">($B25*$B$7+$C25*$C$7)/100</f>
        <v>0.0051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Batrachospermum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1155</v>
      </c>
      <c r="Q25" s="486" t="n">
        <f aca="false">IF(ISTEXT(H25),"",(B25*$B$7/100)+(C25*$C$7/100))</f>
        <v>0.0051</v>
      </c>
      <c r="R25" s="487" t="n">
        <f aca="false">IF(OR(ISTEXT(H25),Q25=0),"",IF(Q25&lt;0.1,1,IF(Q25&lt;1,2,IF(Q25&lt;10,3,IF(Q25&lt;50,4,IF(Q25&gt;=50,5,""))))))</f>
        <v>1</v>
      </c>
      <c r="S25" s="487" t="n">
        <f aca="false">IF(ISERROR(R25*I25),0,R25*I25)</f>
        <v>16</v>
      </c>
      <c r="T25" s="487" t="n">
        <f aca="false">IF(ISERROR(R25*I25*J25),0,R25*I25*J25)</f>
        <v>32</v>
      </c>
      <c r="U25" s="499" t="n">
        <f aca="false">IF(ISERROR(R25*J25),0,R25*J25)</f>
        <v>2</v>
      </c>
      <c r="V25" s="488" t="str">
        <f aca="false">IF(AND(A25="",F25=0),"",IF(F25=0,"Il manque le(s) % de rec. !",""))</f>
        <v/>
      </c>
      <c r="W25" s="489"/>
      <c r="Y25" s="490" t="str">
        <f aca="false">IF(A25="new.cod","NEWCOD",IF(AND((Z25=""),ISTEXT(A25)),A25,IF(Z25="","",INDEX('liste reference'!$A$8:$A$904,Z25))))</f>
        <v>BATSPX</v>
      </c>
      <c r="Z25" s="280" t="n">
        <f aca="false">IF(ISERROR(MATCH(A25,'liste reference'!$A$8:$A$904,0)),IF(ISERROR(MATCH(A25,'liste reference'!$B$8:$B$904,0)),"",(MATCH(A25,'liste reference'!$B$8:$B$904,0))),(MATCH(A25,'liste reference'!$A$8:$A$904,0)))</f>
        <v>7</v>
      </c>
      <c r="AA25" s="491"/>
      <c r="AB25" s="492"/>
      <c r="AC25" s="492"/>
      <c r="BB25" s="280" t="n">
        <f aca="false">IF(A25="","",1)</f>
        <v>1</v>
      </c>
    </row>
    <row r="26" customFormat="false" ht="13.2" hidden="false" customHeight="false" outlineLevel="0" collapsed="false">
      <c r="A26" s="493" t="s">
        <v>122</v>
      </c>
      <c r="B26" s="494" t="n">
        <v>0.4</v>
      </c>
      <c r="C26" s="495" t="n">
        <v>0.01</v>
      </c>
      <c r="D26" s="477" t="str">
        <f aca="false">IF(ISERROR(VLOOKUP($A26,'liste reference'!$A$7:$D$904,2,0)),IF(ISERROR(VLOOKUP($A26,'liste reference'!$B$7:$D$904,1,0)),"",VLOOKUP($A26,'liste reference'!$B$7:$D$904,1,0)),VLOOKUP($A26,'liste reference'!$A$7:$D$904,2,0))</f>
        <v>Cladophora sp.</v>
      </c>
      <c r="E26" s="496" t="e">
        <f aca="false">IF(D26="",0,VLOOKUP(D26,D$22:D25,1,0))</f>
        <v>#N/A</v>
      </c>
      <c r="F26" s="497" t="n">
        <f aca="false">($B26*$B$7+$C26*$C$7)/100</f>
        <v>0.2089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1124</v>
      </c>
      <c r="Q26" s="486" t="n">
        <f aca="false">IF(ISTEXT(H26),"",(B26*$B$7/100)+(C26*$C$7/100))</f>
        <v>0.2089</v>
      </c>
      <c r="R26" s="487" t="n">
        <f aca="false">IF(OR(ISTEXT(H26),Q26=0),"",IF(Q26&lt;0.1,1,IF(Q26&lt;1,2,IF(Q26&lt;10,3,IF(Q26&lt;50,4,IF(Q26&gt;=50,5,""))))))</f>
        <v>2</v>
      </c>
      <c r="S26" s="487" t="n">
        <f aca="false">IF(ISERROR(R26*I26),0,R26*I26)</f>
        <v>12</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CLASPX</v>
      </c>
      <c r="Z26" s="280" t="n">
        <f aca="false">IF(ISERROR(MATCH(A26,'liste reference'!$A$8:$A$904,0)),IF(ISERROR(MATCH(A26,'liste reference'!$B$8:$B$904,0)),"",(MATCH(A26,'liste reference'!$B$8:$B$904,0))),(MATCH(A26,'liste reference'!$A$8:$A$904,0)))</f>
        <v>23</v>
      </c>
      <c r="AA26" s="491"/>
      <c r="AB26" s="492"/>
      <c r="AC26" s="492"/>
      <c r="BB26" s="280" t="n">
        <f aca="false">IF(A26="","",1)</f>
        <v>1</v>
      </c>
    </row>
    <row r="27" customFormat="false" ht="13.2" hidden="false" customHeight="false" outlineLevel="0" collapsed="false">
      <c r="A27" s="493" t="s">
        <v>142</v>
      </c>
      <c r="B27" s="494" t="n">
        <v>0.5</v>
      </c>
      <c r="C27" s="495" t="n">
        <v>0.5</v>
      </c>
      <c r="D27" s="477" t="str">
        <f aca="false">IF(ISERROR(VLOOKUP($A27,'liste reference'!$A$7:$D$904,2,0)),IF(ISERROR(VLOOKUP($A27,'liste reference'!$B$7:$D$904,1,0)),"",VLOOKUP($A27,'liste reference'!$B$7:$D$904,1,0)),VLOOKUP($A27,'liste reference'!$A$7:$D$904,2,0))</f>
        <v>Hildenbrandia sp.</v>
      </c>
      <c r="E27" s="496" t="e">
        <f aca="false">IF(D27="",0,VLOOKUP(D27,D$22:D26,1,0))</f>
        <v>#N/A</v>
      </c>
      <c r="F27" s="497" t="n">
        <f aca="false">($B27*$B$7+$C27*$C$7)/100</f>
        <v>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Hildenbrandia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1157</v>
      </c>
      <c r="Q27" s="486" t="n">
        <f aca="false">IF(ISTEXT(H27),"",(B27*$B$7/100)+(C27*$C$7/100))</f>
        <v>0.5</v>
      </c>
      <c r="R27" s="487" t="n">
        <f aca="false">IF(OR(ISTEXT(H27),Q27=0),"",IF(Q27&lt;0.1,1,IF(Q27&lt;1,2,IF(Q27&lt;10,3,IF(Q27&lt;50,4,IF(Q27&gt;=50,5,""))))))</f>
        <v>2</v>
      </c>
      <c r="S27" s="487" t="n">
        <f aca="false">IF(ISERROR(R27*I27),0,R27*I27)</f>
        <v>30</v>
      </c>
      <c r="T27" s="487" t="n">
        <f aca="false">IF(ISERROR(R27*I27*J27),0,R27*I27*J27)</f>
        <v>60</v>
      </c>
      <c r="U27" s="499" t="n">
        <f aca="false">IF(ISERROR(R27*J27),0,R27*J27)</f>
        <v>4</v>
      </c>
      <c r="V27" s="488" t="str">
        <f aca="false">IF(AND(A27="",F27=0),"",IF(F27=0,"Il manque le(s) % de rec. !",""))</f>
        <v/>
      </c>
      <c r="W27" s="489"/>
      <c r="Y27" s="490" t="str">
        <f aca="false">IF(A27="new.cod","NEWCOD",IF(AND((Z27=""),ISTEXT(A27)),A27,IF(Z27="","",INDEX('liste reference'!$A$8:$A$904,Z27))))</f>
        <v>HILSPX</v>
      </c>
      <c r="Z27" s="280" t="n">
        <f aca="false">IF(ISERROR(MATCH(A27,'liste reference'!$A$8:$A$904,0)),IF(ISERROR(MATCH(A27,'liste reference'!$B$8:$B$904,0)),"",(MATCH(A27,'liste reference'!$B$8:$B$904,0))),(MATCH(A27,'liste reference'!$A$8:$A$904,0)))</f>
        <v>30</v>
      </c>
      <c r="AA27" s="491"/>
      <c r="AB27" s="492"/>
      <c r="AC27" s="492"/>
      <c r="BB27" s="280" t="n">
        <f aca="false">IF(A27="","",1)</f>
        <v>1</v>
      </c>
    </row>
    <row r="28" customFormat="false" ht="13.2" hidden="false" customHeight="false" outlineLevel="0" collapsed="false">
      <c r="A28" s="493" t="s">
        <v>301</v>
      </c>
      <c r="B28" s="494" t="n">
        <v>0.4</v>
      </c>
      <c r="C28" s="495"/>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0.204</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0.204</v>
      </c>
      <c r="R28" s="487" t="n">
        <f aca="false">IF(OR(ISTEXT(H28),Q28=0),"",IF(Q28&lt;0.1,1,IF(Q28&lt;1,2,IF(Q28&lt;10,3,IF(Q28&lt;50,4,IF(Q28&gt;=50,5,""))))))</f>
        <v>2</v>
      </c>
      <c r="S28" s="487" t="n">
        <f aca="false">IF(ISERROR(R28*I28),0,R28*I28)</f>
        <v>8</v>
      </c>
      <c r="T28" s="487" t="n">
        <f aca="false">IF(ISERROR(R28*I28*J28),0,R28*I28*J28)</f>
        <v>8</v>
      </c>
      <c r="U28" s="499" t="n">
        <f aca="false">IF(ISERROR(R28*J28),0,R28*J28)</f>
        <v>2</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3.2" hidden="false" customHeight="false" outlineLevel="0" collapsed="false">
      <c r="A29" s="493" t="s">
        <v>359</v>
      </c>
      <c r="B29" s="494" t="n">
        <v>1</v>
      </c>
      <c r="C29" s="495" t="n">
        <v>0.7</v>
      </c>
      <c r="D29" s="477" t="str">
        <f aca="false">IF(ISERROR(VLOOKUP($A29,'liste reference'!$A$7:$D$904,2,0)),IF(ISERROR(VLOOKUP($A29,'liste reference'!$B$7:$D$904,1,0)),"",VLOOKUP($A29,'liste reference'!$B$7:$D$904,1,0)),VLOOKUP($A29,'liste reference'!$A$7:$D$904,2,0))</f>
        <v>Chiloscyphus polyanthos</v>
      </c>
      <c r="E29" s="496" t="e">
        <f aca="false">IF(D29="",0,VLOOKUP(D29,D$22:D28,1,0))</f>
        <v>#N/A</v>
      </c>
      <c r="F29" s="497" t="n">
        <f aca="false">($B29*$B$7+$C29*$C$7)/100</f>
        <v>0.853</v>
      </c>
      <c r="G29" s="479" t="str">
        <f aca="false">IF(A29="","",IF(ISERROR(VLOOKUP($A29,'liste reference'!$A$7:$P$904,13,0)),IF(ISERROR(VLOOKUP($A29,'liste reference'!$B$7:$P$904,12,0)),"    -",VLOOKUP($A29,'liste reference'!$B$7:$P$904,12,0)),VLOOKUP($A29,'liste reference'!$A$7:$P$904,13,0)))</f>
        <v>BRh</v>
      </c>
      <c r="H29" s="480" t="n">
        <f aca="false">IF(A29="","x",IF(ISERROR(VLOOKUP($A29,'liste reference'!$A$8:$P$904,14,0)),IF(ISERROR(VLOOKUP($A29,'liste reference'!$B$8:$P$904,13,0)),"x",VLOOKUP($A29,'liste reference'!$B$8:$P$904,13,0)),VLOOKUP($A29,'liste reference'!$A$8:$P$904,14,0)))</f>
        <v>4</v>
      </c>
      <c r="I29" s="481" t="n">
        <f aca="false">IF(ISNUMBER(H29),IF(ISERROR(VLOOKUP($A29,'liste reference'!$A$7:$P$904,3,0)),IF(ISERROR(VLOOKUP($A29,'liste reference'!$B$7:$P$904,2,0)),"",VLOOKUP($A29,'liste reference'!$B$7:$P$904,2,0)),VLOOKUP($A29,'liste reference'!$A$7:$P$904,3,0)),"")</f>
        <v>15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Chiloscyphus polyanthos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1186</v>
      </c>
      <c r="Q29" s="486" t="n">
        <f aca="false">IF(ISTEXT(H29),"",(B29*$B$7/100)+(C29*$C$7/100))</f>
        <v>0.853</v>
      </c>
      <c r="R29" s="487" t="n">
        <f aca="false">IF(OR(ISTEXT(H29),Q29=0),"",IF(Q29&lt;0.1,1,IF(Q29&lt;1,2,IF(Q29&lt;10,3,IF(Q29&lt;50,4,IF(Q29&gt;=50,5,""))))))</f>
        <v>2</v>
      </c>
      <c r="S29" s="487" t="n">
        <f aca="false">IF(ISERROR(R29*I29),0,R29*I29)</f>
        <v>30</v>
      </c>
      <c r="T29" s="487" t="n">
        <f aca="false">IF(ISERROR(R29*I29*J29),0,R29*I29*J29)</f>
        <v>60</v>
      </c>
      <c r="U29" s="499" t="n">
        <f aca="false">IF(ISERROR(R29*J29),0,R29*J29)</f>
        <v>4</v>
      </c>
      <c r="V29" s="488" t="str">
        <f aca="false">IF(AND(A29="",F29=0),"",IF(F29=0,"Il manque le(s) % de rec. !",""))</f>
        <v/>
      </c>
      <c r="W29" s="489"/>
      <c r="Y29" s="490" t="str">
        <f aca="false">IF(A29="new.cod","NEWCOD",IF(AND((Z29=""),ISTEXT(A29)),A29,IF(Z29="","",INDEX('liste reference'!$A$8:$A$904,Z29))))</f>
        <v>CHIPOL</v>
      </c>
      <c r="Z29" s="280" t="n">
        <f aca="false">IF(ISERROR(MATCH(A29,'liste reference'!$A$8:$A$904,0)),IF(ISERROR(MATCH(A29,'liste reference'!$B$8:$B$904,0)),"",(MATCH(A29,'liste reference'!$B$8:$B$904,0))),(MATCH(A29,'liste reference'!$A$8:$A$904,0)))</f>
        <v>97</v>
      </c>
      <c r="AA29" s="491"/>
      <c r="AB29" s="492"/>
      <c r="AC29" s="492"/>
      <c r="BB29" s="280" t="n">
        <f aca="false">IF(A29="","",1)</f>
        <v>1</v>
      </c>
    </row>
    <row r="30" customFormat="false" ht="13.2" hidden="false" customHeight="false" outlineLevel="0" collapsed="false">
      <c r="A30" s="493" t="s">
        <v>1487</v>
      </c>
      <c r="B30" s="494"/>
      <c r="C30" s="495" t="n">
        <v>0.005</v>
      </c>
      <c r="D30" s="477" t="str">
        <f aca="false">IF(ISERROR(VLOOKUP($A30,'liste reference'!$A$7:$D$904,2,0)),IF(ISERROR(VLOOKUP($A30,'liste reference'!$B$7:$D$904,1,0)),"",VLOOKUP($A30,'liste reference'!$B$7:$D$904,1,0)),VLOOKUP($A30,'liste reference'!$A$7:$D$904,2,0))</f>
        <v>Potamogeton pectinatus</v>
      </c>
      <c r="E30" s="496" t="e">
        <f aca="false">IF(D30="",0,VLOOKUP(D30,D$22:D29,1,0))</f>
        <v>#N/A</v>
      </c>
      <c r="F30" s="497" t="n">
        <f aca="false">($B30*$B$7+$C30*$C$7)/100</f>
        <v>0.00245</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Potamogeton pectinatus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1655</v>
      </c>
      <c r="Q30" s="486" t="n">
        <f aca="false">IF(ISTEXT(H30),"",(B30*$B$7/100)+(C30*$C$7/100))</f>
        <v>0.00245</v>
      </c>
      <c r="R30" s="487" t="n">
        <f aca="false">IF(OR(ISTEXT(H30),Q30=0),"",IF(Q30&lt;0.1,1,IF(Q30&lt;1,2,IF(Q30&lt;10,3,IF(Q30&lt;50,4,IF(Q30&gt;=50,5,""))))))</f>
        <v>1</v>
      </c>
      <c r="S30" s="487" t="n">
        <f aca="false">IF(ISERROR(R30*I30),0,R30*I30)</f>
        <v>2</v>
      </c>
      <c r="T30" s="487" t="n">
        <f aca="false">IF(ISERROR(R30*I30*J30),0,R30*I30*J30)</f>
        <v>4</v>
      </c>
      <c r="U30" s="499" t="n">
        <f aca="false">IF(ISERROR(R30*J30),0,R30*J30)</f>
        <v>2</v>
      </c>
      <c r="V30" s="488" t="str">
        <f aca="false">IF(AND(A30="",F30=0),"",IF(F30=0,"Il manque le(s) % de rec. !",""))</f>
        <v/>
      </c>
      <c r="W30" s="489"/>
      <c r="Y30" s="490" t="str">
        <f aca="false">IF(A30="new.cod","NEWCOD",IF(AND((Z30=""),ISTEXT(A30)),A30,IF(Z30="","",INDEX('liste reference'!$A$8:$A$904,Z30))))</f>
        <v>POTPEC</v>
      </c>
      <c r="Z30" s="280" t="n">
        <f aca="false">IF(ISERROR(MATCH(A30,'liste reference'!$A$8:$A$904,0)),IF(ISERROR(MATCH(A30,'liste reference'!$B$8:$B$904,0)),"",(MATCH(A30,'liste reference'!$B$8:$B$904,0))),(MATCH(A30,'liste reference'!$A$8:$A$904,0)))</f>
        <v>421</v>
      </c>
      <c r="AA30" s="491"/>
      <c r="AB30" s="492"/>
      <c r="AC30" s="492"/>
      <c r="BB30" s="280" t="n">
        <f aca="false">IF(A30="","",1)</f>
        <v>1</v>
      </c>
    </row>
    <row r="31" customFormat="false" ht="13.2" hidden="false" customHeight="false" outlineLevel="0" collapsed="false">
      <c r="A31" s="493" t="s">
        <v>2002</v>
      </c>
      <c r="B31" s="494" t="n">
        <v>0.005</v>
      </c>
      <c r="C31" s="495" t="n">
        <v>0.005</v>
      </c>
      <c r="D31" s="477" t="str">
        <f aca="false">IF(ISERROR(VLOOKUP($A31,'liste reference'!$A$7:$D$904,2,0)),IF(ISERROR(VLOOKUP($A31,'liste reference'!$B$7:$D$904,1,0)),"",VLOOKUP($A31,'liste reference'!$B$7:$D$904,1,0)),VLOOKUP($A31,'liste reference'!$A$7:$D$904,2,0))</f>
        <v>Phragmites australis</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9</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Phragmites australis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1579</v>
      </c>
      <c r="Q31" s="486" t="n">
        <f aca="false">IF(ISTEXT(H31),"",(B31*$B$7/100)+(C31*$C$7/100))</f>
        <v>0.005</v>
      </c>
      <c r="R31" s="487" t="n">
        <f aca="false">IF(OR(ISTEXT(H31),Q31=0),"",IF(Q31&lt;0.1,1,IF(Q31&lt;1,2,IF(Q31&lt;10,3,IF(Q31&lt;50,4,IF(Q31&gt;=50,5,""))))))</f>
        <v>1</v>
      </c>
      <c r="S31" s="487" t="n">
        <f aca="false">IF(ISERROR(R31*I31),0,R31*I31)</f>
        <v>9</v>
      </c>
      <c r="T31" s="487" t="n">
        <f aca="false">IF(ISERROR(R31*I31*J31),0,R31*I31*J31)</f>
        <v>18</v>
      </c>
      <c r="U31" s="499" t="n">
        <f aca="false">IF(ISERROR(R31*J31),0,R31*J31)</f>
        <v>2</v>
      </c>
      <c r="V31" s="488" t="str">
        <f aca="false">IF(AND(A31="",F31=0),"",IF(F31=0,"Il manque le(s) % de rec. !",""))</f>
        <v/>
      </c>
      <c r="W31" s="500"/>
      <c r="Y31" s="490" t="str">
        <f aca="false">IF(A31="new.cod","NEWCOD",IF(AND((Z31=""),ISTEXT(A31)),A31,IF(Z31="","",INDEX('liste reference'!$A$8:$A$904,Z31))))</f>
        <v>PHRAUS</v>
      </c>
      <c r="Z31" s="280" t="n">
        <f aca="false">IF(ISERROR(MATCH(A31,'liste reference'!$A$8:$A$904,0)),IF(ISERROR(MATCH(A31,'liste reference'!$B$8:$B$904,0)),"",(MATCH(A31,'liste reference'!$B$8:$B$904,0))),(MATCH(A31,'liste reference'!$A$8:$A$904,0)))</f>
        <v>635</v>
      </c>
      <c r="AA31" s="491"/>
      <c r="AB31" s="492"/>
      <c r="AC31" s="492"/>
      <c r="BB31" s="280" t="n">
        <f aca="false">IF(A31="","",1)</f>
        <v>1</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Argens</v>
      </c>
      <c r="B84" s="529" t="str">
        <f aca="false">C3</f>
        <v>Chateauvert</v>
      </c>
      <c r="C84" s="530" t="n">
        <f aca="false">A4</f>
        <v>41513</v>
      </c>
      <c r="D84" s="531" t="n">
        <f aca="false">IF(ISERROR(SUM($T$23:$T$82)/SUM($U$23:$U$82)),"",SUM($T$23:$T$82)/SUM($U$23:$U$82))</f>
        <v>11.0833333333333</v>
      </c>
      <c r="E84" s="532" t="n">
        <f aca="false">N13</f>
        <v>9</v>
      </c>
      <c r="F84" s="529" t="n">
        <f aca="false">N14</f>
        <v>9</v>
      </c>
      <c r="G84" s="529" t="n">
        <f aca="false">N15</f>
        <v>2</v>
      </c>
      <c r="H84" s="529" t="n">
        <f aca="false">N16</f>
        <v>7</v>
      </c>
      <c r="I84" s="529" t="n">
        <f aca="false">N17</f>
        <v>0</v>
      </c>
      <c r="J84" s="533" t="n">
        <f aca="false">N8</f>
        <v>10</v>
      </c>
      <c r="K84" s="531" t="n">
        <f aca="false">N9</f>
        <v>4.85340659285368</v>
      </c>
      <c r="L84" s="532" t="n">
        <f aca="false">N10</f>
        <v>2</v>
      </c>
      <c r="M84" s="532" t="n">
        <f aca="false">N11</f>
        <v>16</v>
      </c>
      <c r="N84" s="531" t="n">
        <f aca="false">O8</f>
        <v>1.77777777777778</v>
      </c>
      <c r="O84" s="531" t="n">
        <f aca="false">O9</f>
        <v>0.415739709641549</v>
      </c>
      <c r="P84" s="532" t="n">
        <f aca="false">O10</f>
        <v>1</v>
      </c>
      <c r="Q84" s="532" t="n">
        <f aca="false">O11</f>
        <v>2</v>
      </c>
      <c r="R84" s="532" t="n">
        <f aca="false">F21</f>
        <v>2.041</v>
      </c>
      <c r="S84" s="532" t="n">
        <f aca="false">K11</f>
        <v>0</v>
      </c>
      <c r="T84" s="532" t="n">
        <f aca="false">K12</f>
        <v>6</v>
      </c>
      <c r="U84" s="532" t="n">
        <f aca="false">K13</f>
        <v>1</v>
      </c>
      <c r="V84" s="534" t="n">
        <f aca="false">K14</f>
        <v>0</v>
      </c>
      <c r="W84" s="535" t="n">
        <f aca="false">K15</f>
        <v>2</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30</v>
      </c>
      <c r="T87" s="280"/>
      <c r="U87" s="280"/>
      <c r="V87" s="280"/>
    </row>
    <row r="88" customFormat="false" ht="13.2" hidden="true" customHeight="false" outlineLevel="0" collapsed="false">
      <c r="P88" s="280"/>
      <c r="Q88" s="280" t="s">
        <v>2689</v>
      </c>
      <c r="R88" s="280"/>
      <c r="S88" s="488" t="n">
        <f aca="false">VLOOKUP((S87),($S$23:$U$82),2,0)</f>
        <v>60</v>
      </c>
      <c r="T88" s="280"/>
      <c r="U88" s="280"/>
      <c r="V88" s="280"/>
    </row>
    <row r="89" customFormat="false" ht="13.2" hidden="true" customHeight="false" outlineLevel="0" collapsed="false">
      <c r="Q89" s="280" t="s">
        <v>2690</v>
      </c>
      <c r="R89" s="280"/>
      <c r="S89" s="488" t="n">
        <f aca="false">VLOOKUP((S87),($S$23:$U$82),3,0)</f>
        <v>4</v>
      </c>
      <c r="T89" s="280"/>
    </row>
    <row r="90" customFormat="false" ht="13.2" hidden="false" customHeight="false" outlineLevel="0" collapsed="false">
      <c r="Q90" s="280" t="s">
        <v>2691</v>
      </c>
      <c r="R90" s="280"/>
      <c r="S90" s="538" t="n">
        <f aca="false">IF(ISERROR(SUM($T$23:$T$82)/SUM($U$23:$U$82)),"",(SUM($T$23:$T$82)-S88)/(SUM($U$23:$U$82)-S89))</f>
        <v>10.3</v>
      </c>
      <c r="T90" s="280"/>
    </row>
    <row r="91" customFormat="false" ht="13.2" hidden="false" customHeight="false" outlineLevel="0" collapsed="false">
      <c r="Q91" s="487" t="s">
        <v>2692</v>
      </c>
      <c r="R91" s="487"/>
      <c r="S91" s="487" t="str">
        <f aca="false">INDEX('liste reference'!$A$8:$A$904,$T$91)</f>
        <v>HILSPX</v>
      </c>
      <c r="T91" s="280" t="n">
        <f aca="false">IF(ISERROR(MATCH($S$93,'liste reference'!$A$8:$A$904,0)),MATCH($S$93,'liste reference'!$B$8:$B$904,0),(MATCH($S$93,'liste reference'!$A$8:$A$904,0)))</f>
        <v>30</v>
      </c>
      <c r="U91" s="527"/>
    </row>
    <row r="92" customFormat="false" ht="13.2" hidden="false" customHeight="false" outlineLevel="0" collapsed="false">
      <c r="Q92" s="280" t="s">
        <v>2693</v>
      </c>
      <c r="R92" s="280"/>
      <c r="S92" s="280" t="n">
        <f aca="false">MATCH(S87,$S$23:$S$82,0)</f>
        <v>5</v>
      </c>
      <c r="T92" s="280"/>
    </row>
    <row r="93" customFormat="false" ht="13.2" hidden="false" customHeight="false" outlineLevel="0" collapsed="false">
      <c r="Q93" s="487" t="s">
        <v>2694</v>
      </c>
      <c r="R93" s="280"/>
      <c r="S93" s="487" t="str">
        <f aca="false">INDEX($A$23:$A$82,$S$92)</f>
        <v>HILSPX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8"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0</v>
      </c>
      <c r="T87" s="280"/>
      <c r="U87" s="280"/>
      <c r="V87" s="280"/>
    </row>
    <row r="88" customFormat="false" ht="13.2" hidden="true" customHeight="false" outlineLevel="0" collapsed="false">
      <c r="P88" s="280"/>
      <c r="Q88" s="280" t="s">
        <v>2689</v>
      </c>
      <c r="R88" s="280"/>
      <c r="S88" s="488" t="n">
        <f aca="false">VLOOKUP((S87),($S$23:$U$82),2,0)</f>
        <v>0</v>
      </c>
      <c r="T88" s="280"/>
      <c r="U88" s="280"/>
      <c r="V88" s="280"/>
    </row>
    <row r="89" customFormat="false" ht="13.2" hidden="true" customHeight="false" outlineLevel="0" collapsed="false">
      <c r="Q89" s="280" t="s">
        <v>2690</v>
      </c>
      <c r="R89" s="280"/>
      <c r="S89" s="488" t="n">
        <f aca="false">VLOOKUP((S87),($S$23:$U$82),3,0)</f>
        <v>0</v>
      </c>
      <c r="T89" s="280"/>
    </row>
    <row r="90" customFormat="false" ht="13.2" hidden="false" customHeight="false" outlineLevel="0" collapsed="false">
      <c r="Q90" s="280" t="s">
        <v>2691</v>
      </c>
      <c r="R90" s="280"/>
      <c r="S90" s="538" t="str">
        <f aca="false">IF(ISERROR(SUM($T$23:$T$82)/SUM($U$23:$U$82)),"",(SUM($T$23:$T$82)-S88)/(SUM($U$23:$U$82)-S89))</f>
        <v/>
      </c>
      <c r="T90" s="280"/>
    </row>
    <row r="91" customFormat="false" ht="13.2"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2709</v>
      </c>
      <c r="G17" s="577"/>
      <c r="H17" s="576" t="s">
        <v>2709</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2716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2717</v>
      </c>
    </row>
    <row r="35" customFormat="false" ht="14.4" hidden="false" customHeight="false" outlineLevel="0" collapsed="false">
      <c r="A35" s="565" t="s">
        <v>52</v>
      </c>
      <c r="B35" s="566" t="s">
        <v>53</v>
      </c>
      <c r="C35" s="568"/>
      <c r="D35" s="569"/>
      <c r="F35" s="583" t="s">
        <v>2639</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2014-04-07T16:19:14Z</dcterms:modified>
  <cp:revision>0</cp:revision>
  <dc:subject/>
  <dc:title>Feuille d'aide au calcul de l'IBMR</dc:title>
</cp:coreProperties>
</file>