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Caramy à Vins sur Caramy"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'Caramy à Vins sur Caramy'!$A$1:$O$82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'Caramy à Vins sur Caramy'!$A$23:$J$84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<sst xmlns="http://schemas.openxmlformats.org/spreadsheetml/2006/main" count="7342" uniqueCount="2728">
  <si>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</si>
  <si>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</si>
  <si>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</si>
  <si>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</si>
  <si>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</si>
  <si>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</si>
  <si>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</si>
  <si>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</si>
  <si>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</si>
  <si>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</si>
  <si>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</si>
  <si>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</si>
  <si>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</si>
  <si>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</si>
  <si>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</si>
  <si>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</si>
  <si>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</si>
  <si>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</si>
  <si>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</si>
  <si>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</si>
  <si>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</si>
  <si>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</si>
  <si>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</si>
  <si>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</si>
  <si>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</si>
  <si>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</si>
  <si>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</si>
  <si>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</si>
  <si>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</si>
  <si>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</si>
  <si>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</si>
  <si>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</si>
  <si>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</si>
  <si>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</si>
  <si>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</si>
  <si>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</si>
  <si>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</si>
  <si>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</si>
  <si>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</si>
  <si>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</si>
  <si>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</si>
  <si>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</si>
  <si>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</si>
  <si>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</si>
  <si>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</si>
  <si>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</si>
  <si>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</si>
  <si>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</si>
  <si>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</si>
  <si>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</si>
  <si>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</si>
  <si>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</si>
  <si>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</si>
  <si>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</si>
  <si>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</si>
  <si>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</si>
  <si>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</si>
  <si>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</si>
  <si>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</si>
  <si>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</si>
  <si>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</si>
  <si>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</si>
  <si>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</si>
  <si>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</si>
  <si>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</si>
  <si>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</si>
  <si>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</si>
  <si>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</si>
  <si>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</si>
  <si>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</si>
  <si>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</si>
  <si>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</si>
  <si>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</si>
  <si>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</si>
  <si>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</si>
  <si>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</si>
  <si>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</si>
  <si>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</si>
  <si>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</si>
  <si>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</si>
  <si>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</si>
  <si>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</si>
  <si>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</si>
  <si>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</si>
  <si>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</si>
  <si>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</si>
  <si>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</si>
  <si>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</si>
  <si>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</si>
  <si>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</si>
  <si>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</si>
  <si>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</si>
  <si>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</si>
  <si>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</si>
  <si>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</si>
  <si>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</si>
  <si>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</si>
  <si>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</si>
  <si>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</si>
  <si>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</si>
  <si>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</si>
  <si>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</si>
  <si>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</si>
  <si>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</si>
  <si>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</si>
  <si>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</si>
  <si>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</si>
  <si>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</si>
  <si>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</si>
  <si>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</si>
  <si>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</si>
  <si>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</si>
  <si>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</si>
  <si>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</si>
  <si>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</si>
  <si>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</si>
  <si>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</si>
  <si>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</si>
  <si>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</si>
  <si>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</si>
  <si>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</si>
  <si>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</si>
  <si>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</si>
  <si>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</si>
  <si>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</si>
  <si>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</si>
  <si>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</si>
  <si>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</si>
  <si>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</si>
  <si>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</si>
  <si>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</si>
  <si>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</si>
  <si>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</si>
  <si>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</si>
  <si>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</si>
  <si>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</si>
  <si>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</si>
  <si>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</si>
  <si>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</si>
  <si>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</si>
  <si>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</si>
  <si>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</si>
  <si>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</si>
  <si>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</si>
  <si>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</si>
  <si>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</si>
  <si>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</si>
  <si>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</si>
  <si>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</si>
  <si>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</si>
  <si>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</si>
  <si>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</si>
  <si>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</si>
  <si>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</si>
  <si>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</si>
  <si>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</si>
  <si>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</si>
  <si>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</si>
  <si>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</si>
  <si>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</si>
  <si>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</si>
  <si>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</si>
  <si>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</si>
  <si>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</si>
  <si>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</si>
  <si>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</si>
  <si>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</si>
  <si>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</si>
  <si>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</si>
  <si>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</si>
  <si>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</si>
  <si>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</si>
  <si>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</si>
  <si>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</si>
  <si>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</si>
  <si>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</si>
  <si>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</si>
  <si>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</si>
  <si>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</si>
  <si>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</si>
  <si>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</si>
  <si>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</si>
  <si>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</si>
  <si>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</si>
  <si>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</si>
  <si>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</si>
  <si>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</si>
  <si>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</si>
  <si>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</si>
  <si>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</si>
  <si>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</si>
  <si>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</si>
  <si>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</si>
  <si>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</si>
  <si>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</si>
  <si>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</si>
  <si>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</si>
  <si>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</si>
  <si>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</si>
  <si>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</si>
  <si>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</si>
  <si>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</si>
  <si>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</si>
  <si>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</si>
  <si>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</si>
  <si>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</si>
  <si>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</si>
  <si>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</si>
  <si>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</si>
  <si>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</si>
  <si>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</si>
  <si>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</si>
  <si>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</si>
  <si>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</si>
  <si>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</si>
  <si>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</si>
  <si>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</si>
  <si>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</si>
  <si>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</si>
  <si>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</si>
  <si>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</si>
  <si>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</si>
  <si>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</si>
  <si>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</si>
  <si>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</si>
  <si>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</si>
  <si>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</si>
  <si>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</si>
  <si>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</si>
  <si>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</si>
  <si>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</si>
  <si>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</si>
  <si>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</si>
  <si>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</si>
  <si>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</si>
  <si>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</si>
  <si>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</si>
  <si>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</si>
  <si>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</si>
  <si>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</si>
  <si>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</si>
  <si>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</si>
  <si>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</si>
  <si>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</si>
  <si>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</si>
  <si>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</si>
  <si>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</si>
  <si>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</si>
  <si>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</si>
  <si>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</si>
  <si>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</si>
  <si>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</si>
  <si>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</si>
  <si>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</si>
  <si>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</si>
  <si>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</si>
  <si>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</si>
  <si>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</si>
  <si>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</si>
  <si>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</si>
  <si>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</si>
  <si>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</si>
  <si>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</si>
  <si>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</si>
  <si>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</si>
  <si>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</si>
  <si>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</si>
  <si>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</si>
  <si>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</si>
  <si>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</si>
  <si>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</si>
  <si>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</si>
  <si>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</si>
  <si>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</si>
  <si>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</si>
  <si>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</si>
  <si>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</si>
  <si>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</si>
  <si>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</si>
  <si>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</si>
  <si>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</si>
  <si>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</si>
  <si>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</si>
  <si>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</si>
  <si>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</si>
  <si>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</si>
  <si>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</si>
  <si>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</si>
  <si>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</si>
  <si>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</si>
  <si>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</si>
  <si>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</si>
  <si>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</si>
  <si>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</si>
  <si>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</si>
  <si>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</si>
  <si>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</si>
  <si>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</si>
  <si>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</si>
  <si>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</si>
  <si>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</si>
  <si>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</si>
  <si>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</si>
  <si>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</si>
  <si>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</si>
  <si>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</si>
  <si>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</si>
  <si>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</si>
  <si>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</si>
  <si>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</si>
  <si>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</si>
  <si>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</si>
  <si>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</si>
  <si>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</si>
  <si>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</si>
  <si>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</si>
  <si>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</si>
  <si>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</si>
  <si>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</si>
  <si>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</si>
  <si>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</si>
  <si>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</si>
  <si>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</si>
  <si>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</si>
  <si>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</si>
  <si>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</si>
  <si>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</si>
  <si>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</si>
  <si>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</si>
  <si>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</si>
  <si>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</si>
  <si>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</si>
  <si>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</si>
  <si>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</si>
  <si>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</si>
  <si>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</si>
  <si>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</si>
  <si>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</si>
  <si>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</si>
  <si>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</si>
  <si>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</si>
  <si>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</si>
  <si>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</si>
  <si>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</si>
  <si>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</si>
  <si>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</si>
  <si>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</si>
  <si>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</si>
  <si>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</si>
  <si>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</si>
  <si>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</si>
  <si>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</si>
  <si>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</si>
  <si>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</si>
  <si>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</si>
  <si>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</si>
  <si>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</si>
  <si>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</si>
  <si>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</si>
  <si>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</si>
  <si>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</si>
  <si>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</si>
  <si>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</si>
  <si>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</si>
  <si>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</si>
  <si>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</si>
  <si>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</si>
  <si>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</si>
  <si>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</si>
  <si>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</si>
  <si>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</si>
  <si>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</si>
  <si>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</si>
  <si>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</si>
  <si>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</si>
  <si>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</si>
  <si>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</si>
  <si>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</si>
  <si>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</si>
  <si>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</si>
  <si>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</si>
  <si>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</si>
  <si>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</si>
  <si>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</si>
  <si>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</si>
  <si>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</si>
  <si>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</si>
  <si>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</si>
  <si>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</si>
  <si>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</si>
  <si>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</si>
  <si>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</si>
  <si>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</si>
  <si>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</si>
  <si>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</si>
  <si>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</si>
  <si>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</si>
  <si>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</si>
  <si>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</si>
  <si>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</si>
  <si>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</si>
  <si>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</si>
  <si>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</si>
  <si>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</si>
  <si>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</si>
  <si>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</si>
  <si>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</si>
  <si>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</si>
  <si>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</si>
  <si>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</si>
  <si>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</si>
  <si>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</si>
  <si>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</si>
  <si>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</si>
  <si>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</si>
  <si>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</si>
  <si>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</si>
  <si>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</si>
  <si>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</si>
  <si>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</si>
  <si>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</si>
  <si>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</si>
  <si>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</si>
  <si>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</si>
  <si>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</si>
  <si>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</si>
  <si>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</si>
  <si>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</si>
  <si>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</si>
  <si>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</si>
  <si>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</si>
  <si>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</si>
  <si>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</si>
  <si>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</si>
  <si>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</si>
  <si>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</si>
  <si>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</si>
  <si>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</si>
  <si>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</si>
  <si>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</si>
  <si>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</si>
  <si>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</si>
  <si>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</si>
  <si>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</si>
  <si>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</si>
  <si>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</si>
  <si>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</si>
  <si>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</si>
  <si>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</si>
  <si>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</si>
  <si>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</si>
  <si>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</si>
  <si>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</si>
  <si>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</si>
  <si>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</si>
  <si>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</si>
  <si>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</si>
  <si>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</si>
  <si>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</si>
  <si>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</si>
  <si>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</si>
  <si>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</si>
  <si>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</si>
  <si>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</si>
  <si>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</si>
  <si>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</si>
  <si>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</si>
  <si>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</si>
  <si>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</si>
  <si>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</si>
  <si>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</si>
  <si>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</si>
  <si>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</si>
  <si>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</si>
  <si>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</si>
  <si>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</si>
  <si>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</si>
  <si>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</si>
  <si>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</si>
  <si>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</si>
  <si>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</si>
  <si>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</si>
  <si>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</si>
  <si>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</si>
  <si>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</si>
  <si>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</si>
  <si>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</si>
  <si>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</si>
  <si>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</si>
  <si>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</si>
  <si>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</si>
  <si>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</si>
  <si>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</si>
  <si>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</si>
  <si>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</si>
  <si>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</si>
  <si>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</si>
  <si>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</si>
  <si>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</si>
  <si>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</si>
  <si>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</si>
  <si>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</si>
  <si>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</si>
  <si>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</si>
  <si>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</si>
  <si>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</si>
  <si>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</si>
  <si>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</si>
  <si>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</si>
  <si>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</si>
  <si>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</si>
  <si>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</si>
  <si>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</si>
  <si>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</si>
  <si>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</si>
  <si>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</si>
  <si>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</si>
  <si>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</si>
  <si>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</si>
  <si>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</si>
  <si>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</si>
  <si>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</si>
  <si>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</si>
  <si>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</si>
  <si>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</si>
  <si>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</si>
  <si>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</si>
  <si>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</si>
  <si>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</si>
  <si>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</si>
  <si>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</si>
  <si>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</si>
  <si>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</si>
  <si>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</si>
  <si>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</si>
  <si>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</si>
  <si>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</si>
  <si>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</si>
  <si>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</si>
  <si>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</si>
  <si>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</si>
  <si>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</si>
  <si>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</si>
  <si>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</si>
  <si>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</si>
  <si>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</si>
  <si>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</si>
  <si>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</si>
  <si>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</si>
  <si>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</si>
  <si>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</si>
  <si>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</si>
  <si>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</si>
  <si>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</si>
  <si>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</si>
  <si>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</si>
  <si>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</si>
  <si>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</si>
  <si>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</si>
  <si>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</si>
  <si>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</si>
  <si>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</si>
  <si>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</si>
  <si>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</si>
  <si>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</si>
  <si>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</si>
  <si>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</si>
  <si>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</si>
  <si>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</si>
  <si>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</si>
  <si>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</si>
  <si>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</si>
  <si>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</si>
  <si>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</si>
  <si>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</si>
  <si>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</si>
  <si>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</si>
  <si>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</si>
  <si>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</si>
  <si>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</si>
  <si>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</si>
  <si>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</si>
  <si>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</si>
  <si>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</si>
  <si>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</si>
  <si>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</si>
  <si>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</si>
  <si>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</si>
  <si>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</si>
  <si>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</si>
  <si>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</si>
  <si>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</si>
  <si>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</si>
  <si>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</si>
  <si>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</si>
  <si>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</si>
  <si>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</si>
  <si>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</si>
  <si>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</si>
  <si>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</si>
  <si>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</si>
  <si>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</si>
  <si>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</si>
  <si>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</si>
  <si>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</si>
  <si>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</si>
  <si>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</si>
  <si>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</si>
  <si>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</si>
  <si>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</si>
  <si>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</si>
  <si>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</si>
  <si>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</si>
  <si>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</si>
  <si>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</si>
  <si>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</si>
  <si>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</si>
  <si>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</si>
  <si>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</si>
  <si>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</si>
  <si>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</si>
  <si>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</si>
  <si>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</si>
  <si>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</si>
  <si>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</si>
  <si>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</si>
  <si>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</si>
  <si>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</si>
  <si>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</si>
  <si>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</si>
  <si>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</si>
  <si>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</si>
  <si>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</si>
  <si>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</si>
  <si>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</si>
  <si>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</si>
  <si>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</si>
  <si>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</si>
  <si>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</si>
  <si>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</si>
  <si>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</si>
  <si>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</si>
  <si>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</si>
  <si>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</si>
  <si>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</si>
  <si>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</si>
  <si>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</si>
  <si>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</si>
  <si>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</si>
  <si>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</si>
  <si>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</si>
  <si>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</si>
  <si>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</si>
  <si>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</si>
  <si>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</si>
  <si>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</si>
  <si>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</si>
  <si>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</si>
  <si>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</si>
  <si>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</si>
  <si>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</si>
  <si>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</si>
  <si>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</si>
  <si>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</si>
  <si>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</si>
  <si>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</si>
  <si>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</si>
  <si>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</si>
  <si>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</si>
  <si>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</si>
  <si>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</si>
  <si>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</si>
  <si>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</si>
  <si>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</si>
  <si>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</si>
  <si>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</si>
  <si>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</si>
  <si>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</si>
  <si>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</si>
  <si>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</si>
  <si>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</si>
  <si>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</si>
  <si>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</si>
  <si>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</si>
  <si>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</si>
  <si>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</si>
  <si>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</si>
  <si>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</si>
  <si>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</si>
  <si>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</si>
  <si>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</si>
  <si>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</si>
  <si>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</si>
  <si>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</si>
  <si>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</si>
  <si>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</si>
  <si>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</si>
  <si>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</si>
  <si>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</si>
  <si>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</si>
  <si>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</si>
  <si>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</si>
  <si>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</si>
  <si>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</si>
  <si>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</si>
  <si>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</si>
  <si>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</si>
  <si>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</si>
  <si>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</si>
  <si>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</si>
  <si>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</si>
  <si>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</si>
  <si>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</si>
  <si>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</si>
  <si>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</si>
  <si>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</si>
  <si>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</si>
  <si>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</si>
  <si>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</si>
  <si>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</si>
  <si>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</si>
  <si>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</si>
  <si>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</si>
  <si>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</si>
  <si>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</si>
  <si>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</si>
  <si>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</si>
  <si>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</si>
  <si>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</si>
  <si>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</si>
  <si>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</si>
  <si>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</si>
  <si>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</si>
  <si>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</si>
  <si>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</si>
  <si>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</si>
  <si>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</si>
  <si>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</si>
  <si>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</si>
  <si>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</si>
  <si>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</si>
  <si>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</si>
  <si>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</si>
  <si>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</si>
  <si>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</si>
  <si>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</si>
  <si>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</si>
  <si>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</si>
  <si>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</si>
  <si>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</si>
  <si>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</si>
  <si>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</si>
  <si>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</si>
  <si>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</si>
  <si>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</si>
  <si>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</si>
  <si>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</si>
  <si>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</si>
  <si>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</si>
  <si>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</si>
  <si>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</si>
  <si>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</si>
  <si>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</si>
  <si>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</si>
  <si>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</si>
  <si>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</si>
  <si>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</si>
  <si>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</si>
  <si>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</si>
  <si>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</si>
  <si>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</si>
  <si>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</si>
  <si>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</si>
  <si>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</si>
  <si>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</si>
  <si>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</si>
  <si>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</si>
  <si>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</si>
  <si>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</si>
  <si>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</si>
  <si>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</si>
  <si>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</si>
  <si>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</si>
  <si>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</si>
  <si>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</si>
  <si>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</si>
  <si>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</si>
  <si>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</si>
  <si>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</si>
  <si>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</si>
  <si>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</si>
  <si>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</si>
  <si>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</si>
  <si>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</si>
  <si>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</si>
  <si>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</si>
  <si>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</si>
  <si>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</si>
  <si>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</si>
  <si>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</si>
  <si>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</si>
  <si>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</si>
  <si>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</si>
  <si>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</si>
  <si>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</si>
  <si>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</si>
  <si>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</si>
  <si>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</si>
  <si>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</si>
  <si>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</si>
  <si>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</si>
  <si>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</si>
  <si>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</si>
  <si>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</si>
  <si>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</si>
  <si>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</si>
  <si>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</si>
  <si>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</si>
  <si>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</si>
  <si>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</si>
  <si>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</si>
  <si>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</si>
  <si>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</si>
  <si>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</si>
  <si>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</si>
  <si>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</si>
  <si>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</si>
  <si>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</si>
  <si>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</si>
  <si>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</si>
  <si>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</si>
  <si>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</si>
  <si>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</si>
  <si>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</si>
  <si>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</si>
  <si>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</si>
  <si>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</si>
  <si>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</si>
  <si>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</si>
  <si>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</si>
  <si>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</si>
  <si>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</si>
  <si>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</si>
  <si>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</si>
  <si>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</si>
  <si>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</si>
  <si>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</si>
  <si>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</si>
  <si>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</si>
  <si>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</si>
  <si>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</si>
  <si>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</si>
  <si>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</si>
  <si>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</si>
  <si>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</si>
  <si>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</si>
  <si>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</si>
  <si>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</si>
  <si>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</si>
  <si>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</si>
  <si>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</si>
  <si>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</si>
  <si>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</si>
  <si>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</si>
  <si>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</si>
  <si>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</si>
  <si>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</si>
  <si>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</si>
  <si>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</si>
  <si>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</si>
  <si>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</si>
  <si>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</si>
  <si>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</si>
  <si>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</si>
  <si>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</si>
  <si>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</si>
  <si>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</si>
  <si>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</si>
  <si>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</si>
  <si>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</si>
  <si>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</si>
  <si>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</si>
  <si>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</si>
  <si>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</si>
  <si>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</si>
  <si>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</si>
  <si>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</si>
  <si>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</si>
  <si>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</si>
  <si>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</si>
  <si>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</si>
  <si>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</si>
  <si>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</si>
  <si>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</si>
  <si>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</si>
  <si>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</si>
  <si>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</si>
  <si>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</si>
  <si>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</si>
  <si>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</si>
  <si>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</si>
  <si>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</si>
  <si>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</si>
  <si>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</si>
  <si>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</si>
  <si>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</si>
  <si>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</si>
  <si>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</si>
  <si>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</si>
  <si>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</si>
  <si>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</si>
  <si>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</si>
  <si>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</si>
  <si>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</si>
  <si>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</si>
  <si>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</si>
  <si>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</si>
  <si>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</si>
  <si>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</si>
  <si>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</si>
  <si>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</si>
  <si>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</si>
  <si>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</si>
  <si>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</si>
  <si>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</si>
  <si>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</si>
  <si>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</si>
  <si>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</si>
  <si>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</si>
  <si>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</si>
  <si>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</si>
  <si>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</si>
  <si>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</si>
  <si>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</si>
  <si>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</si>
  <si>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</si>
  <si>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</si>
  <si>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</si>
  <si>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</si>
  <si>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</si>
  <si>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</si>
  <si>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</si>
  <si>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</si>
  <si>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</si>
  <si>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</si>
  <si>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</si>
  <si>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</si>
  <si>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</si>
  <si>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</si>
  <si>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</si>
  <si>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</si>
  <si>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</si>
  <si>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</si>
  <si>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</si>
  <si>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</si>
  <si>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</si>
  <si>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</si>
  <si>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</si>
  <si>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</si>
  <si>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</si>
  <si>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</si>
  <si>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</si>
  <si>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</si>
  <si>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</si>
  <si>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</si>
  <si>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</si>
  <si>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</si>
  <si>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</si>
  <si>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</si>
  <si>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</si>
  <si>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</si>
  <si>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</si>
  <si>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</si>
  <si>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</si>
  <si>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</si>
  <si>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</si>
  <si>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</si>
  <si>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</si>
  <si>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</si>
  <si>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</si>
  <si>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</si>
  <si>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</si>
  <si>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</si>
  <si>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</si>
  <si>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</si>
  <si>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</si>
  <si>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</si>
  <si>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</si>
  <si>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</si>
  <si>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</si>
  <si>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</si>
  <si>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</si>
  <si>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</si>
  <si>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</si>
  <si>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</si>
  <si>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</si>
  <si>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</si>
  <si>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</si>
  <si>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</si>
  <si>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</si>
  <si>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</si>
  <si>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</si>
  <si>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</si>
  <si>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</si>
  <si>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</si>
  <si>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</si>
  <si>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</si>
  <si>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</si>
  <si>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</si>
  <si>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</si>
  <si>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</si>
  <si>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</si>
  <si>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</si>
  <si>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</si>
  <si>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</si>
  <si>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</si>
  <si>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</si>
  <si>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</si>
  <si>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</si>
  <si>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</si>
  <si>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</si>
  <si>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</si>
  <si>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</si>
  <si>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</si>
  <si>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</si>
  <si>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</si>
  <si>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</si>
  <si>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</si>
  <si>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</si>
  <si>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</si>
  <si>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</si>
  <si>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</si>
  <si>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</si>
  <si>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</si>
  <si>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</si>
  <si>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</si>
  <si>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</si>
  <si>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</si>
  <si>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</si>
  <si>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</si>
  <si>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</si>
  <si>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</si>
  <si>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</si>
  <si>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</si>
  <si>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</si>
  <si>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</si>
  <si>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</si>
  <si>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</si>
  <si>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</si>
  <si>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</si>
  <si>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</si>
  <si>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</si>
  <si>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</si>
  <si>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</si>
  <si>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</si>
  <si>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</si>
  <si>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</si>
  <si>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</si>
  <si>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</si>
  <si>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</si>
  <si>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</si>
  <si>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</si>
  <si>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</si>
  <si>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</si>
  <si>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</si>
  <si>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</si>
  <si>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</si>
  <si>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</si>
  <si>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</si>
  <si>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</si>
  <si>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</si>
  <si>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</si>
  <si>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</si>
  <si>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</si>
  <si>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</si>
  <si>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</si>
  <si>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</si>
  <si>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</si>
  <si>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</si>
  <si>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</si>
  <si>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</si>
  <si>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</si>
  <si>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</si>
  <si>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</si>
  <si>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</si>
  <si>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</si>
  <si>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</si>
  <si>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</si>
  <si>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</si>
  <si>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</si>
  <si>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</si>
  <si>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</si>
  <si>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</si>
  <si>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</si>
  <si>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</si>
  <si>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</si>
  <si>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</si>
  <si>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</si>
  <si>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</si>
  <si>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</si>
  <si>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</si>
  <si>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</si>
  <si>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</si>
  <si>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</si>
  <si>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</si>
  <si>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</si>
  <si>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</si>
  <si>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</si>
  <si>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</si>
  <si>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</si>
  <si>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</si>
  <si>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</si>
  <si>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</si>
  <si>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</si>
  <si>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</si>
  <si>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</si>
  <si>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</si>
  <si>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</si>
  <si>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</si>
  <si>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</si>
  <si>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</si>
  <si>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</si>
  <si>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</si>
  <si>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</si>
  <si>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</si>
  <si>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</si>
  <si>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</si>
  <si>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</si>
  <si>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</si>
  <si>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</si>
  <si>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</si>
  <si>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</si>
  <si>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</si>
  <si>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</si>
  <si>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</si>
  <si>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</si>
  <si>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</si>
  <si>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</si>
  <si>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</si>
  <si>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</si>
  <si>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</si>
  <si>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</si>
  <si>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</si>
  <si>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</si>
  <si>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</si>
  <si>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</si>
  <si>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</si>
  <si>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</si>
  <si>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</si>
  <si>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</si>
  <si>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</si>
  <si>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</si>
  <si>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</si>
  <si>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</si>
  <si>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</si>
  <si>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</si>
  <si>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</si>
  <si>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</si>
  <si>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</si>
  <si>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</si>
  <si>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</si>
  <si>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</si>
  <si>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</si>
  <si>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</si>
  <si>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</si>
  <si>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</si>
  <si>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</si>
  <si>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</si>
  <si>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</si>
  <si>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</si>
  <si>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</si>
  <si>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</si>
  <si>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</si>
  <si>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</si>
  <si>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</si>
  <si>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</si>
  <si>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</si>
  <si>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</si>
  <si>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</si>
  <si>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</si>
  <si>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</si>
  <si>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</si>
  <si>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</si>
  <si>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</si>
  <si>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</si>
  <si>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</si>
  <si>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</si>
  <si>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</si>
  <si>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</si>
  <si>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</si>
  <si>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</si>
  <si>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</si>
  <si>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</si>
  <si>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</si>
  <si>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</si>
  <si>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</si>
  <si>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</si>
  <si>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</si>
  <si>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</si>
  <si>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</si>
  <si>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</si>
  <si>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</si>
  <si>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</si>
  <si>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</si>
  <si>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</si>
  <si>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</si>
  <si>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</si>
  <si>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</si>
  <si>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</si>
  <si>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</si>
  <si>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</si>
  <si>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</si>
  <si>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</si>
  <si>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</si>
  <si>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</si>
  <si>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</si>
  <si>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</si>
  <si>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</si>
  <si>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</si>
  <si>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</si>
  <si>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</si>
  <si>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</si>
  <si>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</si>
  <si>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</si>
  <si>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</si>
  <si>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</si>
  <si>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</si>
  <si>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</si>
  <si>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</si>
  <si>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</si>
  <si>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</si>
  <si>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</si>
  <si>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</si>
  <si>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</si>
  <si>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</si>
  <si>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</si>
  <si>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</si>
  <si>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</si>
  <si>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</si>
  <si>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</si>
  <si>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</si>
  <si>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</si>
  <si>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</si>
  <si>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</si>
  <si>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</si>
  <si>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</si>
  <si>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</si>
  <si>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</si>
  <si>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</si>
  <si>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</si>
  <si>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</si>
  <si>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</si>
  <si>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</si>
  <si>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</si>
  <si>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</si>
  <si>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</si>
  <si>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</si>
  <si>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</si>
  <si>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</si>
  <si>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</si>
  <si>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</si>
  <si>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</si>
  <si>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</si>
  <si>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</si>
  <si>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</si>
  <si>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</si>
  <si>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</si>
  <si>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</si>
  <si>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</si>
  <si>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</si>
  <si>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</si>
  <si>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</si>
  <si>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</si>
  <si>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</si>
  <si>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</si>
  <si>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</si>
  <si>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</si>
  <si>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</si>
  <si>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</si>
  <si>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</si>
  <si>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</si>
  <si>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</si>
  <si>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</si>
  <si>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</si>
  <si>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</si>
  <si>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</si>
  <si>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</si>
  <si>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</si>
  <si>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</si>
  <si>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</si>
  <si>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</si>
  <si>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</si>
  <si>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</si>
  <si>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</si>
  <si>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</si>
  <si>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</si>
  <si>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</si>
  <si>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</si>
  <si>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</si>
  <si>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</si>
  <si>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</si>
  <si>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</si>
  <si>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</si>
  <si>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</si>
  <si>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</si>
  <si>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</si>
  <si>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</si>
  <si>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</si>
  <si>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</si>
  <si>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</si>
  <si>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</si>
  <si>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</si>
  <si>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</si>
  <si>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</si>
  <si>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</si>
  <si>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</si>
  <si>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</si>
  <si>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</si>
  <si>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</si>
  <si>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</si>
  <si>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</si>
  <si>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</si>
  <si>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</si>
  <si>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</si>
  <si>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</si>
  <si>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</si>
  <si>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</si>
  <si>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</si>
  <si>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</si>
  <si>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</si>
  <si>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</si>
  <si>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</si>
  <si>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</si>
  <si>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</si>
  <si>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</si>
  <si>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</si>
  <si>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</si>
  <si>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</si>
  <si>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</si>
  <si>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</si>
  <si>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</si>
  <si>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</si>
  <si>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</si>
  <si>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</si>
  <si>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</si>
  <si>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</si>
  <si>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</si>
  <si>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</si>
  <si>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</si>
  <si>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</si>
  <si>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</si>
  <si>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</si>
  <si>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</si>
  <si>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</si>
  <si>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</si>
  <si>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</si>
  <si>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</si>
  <si>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</si>
  <si>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</si>
  <si>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</si>
  <si>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</si>
  <si>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</si>
  <si>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</si>
  <si>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</si>
  <si>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</si>
  <si>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</si>
  <si>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</si>
  <si>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</si>
  <si>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</si>
  <si>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</si>
  <si>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</si>
  <si>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</si>
  <si>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</si>
  <si>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</si>
  <si>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</si>
  <si>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</si>
  <si>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</si>
  <si>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</si>
  <si>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</si>
  <si>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</si>
  <si>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</si>
  <si>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</si>
  <si>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</si>
  <si>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</si>
  <si>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</si>
  <si>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</si>
  <si>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</si>
  <si>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</si>
  <si>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</si>
  <si>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</si>
  <si>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</si>
  <si>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</si>
  <si>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</si>
  <si>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</si>
  <si>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</si>
  <si>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</si>
  <si>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</si>
  <si>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</si>
  <si>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</si>
  <si>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</si>
  <si>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</si>
  <si>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</si>
  <si>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</si>
  <si>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</si>
  <si>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</si>
  <si>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</si>
  <si>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</si>
  <si>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</si>
  <si>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</si>
  <si>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</si>
  <si>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</si>
  <si>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</si>
  <si>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</si>
  <si>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</si>
  <si>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</si>
  <si>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</si>
  <si>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</si>
  <si>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</si>
  <si>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</si>
  <si>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</si>
  <si>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</si>
  <si>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</si>
  <si>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</si>
  <si>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</si>
  <si>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</si>
  <si>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</si>
  <si>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</si>
  <si>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</si>
  <si>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</si>
  <si>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</si>
  <si>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</si>
  <si>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</si>
  <si>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</si>
  <si>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</si>
  <si>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</si>
  <si>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</si>
  <si>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</si>
  <si>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</si>
  <si>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</si>
  <si>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</si>
  <si>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</si>
  <si>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</si>
  <si>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</si>
  <si>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</si>
  <si>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</si>
  <si>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</si>
  <si>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</si>
  <si>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</si>
  <si>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</si>
  <si>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</si>
  <si>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</si>
  <si>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</si>
  <si>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</si>
  <si>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</si>
  <si>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</si>
  <si>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</si>
  <si>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</si>
  <si>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</si>
  <si>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</si>
  <si>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</si>
  <si>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</si>
  <si>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</si>
  <si>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</si>
  <si>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</si>
  <si>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</si>
  <si>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</si>
  <si>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</si>
  <si>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</si>
  <si>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</si>
  <si>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</si>
  <si>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</si>
  <si>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</si>
  <si>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</si>
  <si>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</si>
  <si>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</si>
  <si>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</si>
  <si>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</si>
  <si>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</si>
  <si>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</si>
  <si>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</si>
  <si>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</si>
  <si>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</si>
  <si>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</si>
  <si>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</si>
  <si>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</si>
  <si>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</si>
  <si>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</si>
  <si>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</si>
  <si>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</si>
  <si>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</si>
  <si>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</si>
  <si>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</si>
  <si>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</si>
  <si>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</si>
  <si>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</si>
  <si>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</si>
  <si>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</si>
  <si>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</si>
  <si>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</si>
  <si>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</si>
  <si>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</si>
  <si>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</si>
  <si>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</si>
  <si>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</si>
  <si>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</si>
  <si>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</si>
  <si>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</si>
  <si>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</si>
  <si>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</si>
  <si>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</si>
  <si>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</si>
  <si>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</si>
  <si>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</si>
  <si>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</si>
  <si>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</si>
  <si>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</si>
  <si>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</si>
  <si>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</si>
  <si>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</si>
  <si>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</si>
  <si>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</si>
  <si>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</si>
  <si>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</si>
  <si>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</si>
  <si>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</si>
  <si>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</si>
  <si>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</si>
  <si>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</si>
  <si>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</si>
  <si>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</si>
  <si>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</si>
  <si>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</si>
  <si>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</si>
  <si>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</si>
  <si>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</si>
  <si>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</si>
  <si>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</si>
  <si>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</si>
  <si>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</si>
  <si>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</si>
  <si>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</si>
  <si>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</si>
  <si>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</si>
  <si>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</si>
  <si>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</si>
  <si>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</si>
  <si>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</si>
  <si>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</si>
  <si>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</si>
  <si>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</si>
  <si>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</si>
  <si>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</si>
  <si>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</si>
  <si>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</si>
  <si>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</si>
  <si>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</si>
  <si>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</si>
  <si>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</si>
  <si>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</si>
  <si>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</si>
  <si>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</si>
  <si>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</si>
  <si>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</si>
  <si>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</si>
  <si>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</si>
  <si>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</si>
  <si>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</si>
  <si>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</si>
  <si>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</si>
  <si>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</si>
  <si>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</si>
  <si>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</si>
  <si>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</si>
  <si>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</si>
  <si>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</si>
  <si>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</si>
  <si>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</si>
  <si>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</si>
  <si>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</si>
  <si>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</si>
  <si>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</si>
  <si>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</si>
  <si>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</si>
  <si>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</si>
  <si>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</si>
  <si>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</si>
  <si>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</si>
  <si>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</si>
  <si>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</si>
  <si>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</si>
  <si>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</si>
  <si>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</si>
  <si>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</si>
  <si>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</si>
  <si>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</si>
  <si>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</si>
  <si>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</si>
  <si>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</si>
  <si>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</si>
  <si>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</si>
  <si>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</si>
  <si>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</si>
  <si>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</si>
  <si>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</si>
  <si>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</si>
  <si>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</si>
  <si>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</si>
  <si>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</si>
  <si>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</si>
  <si>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</si>
  <si>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</si>
  <si>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</si>
  <si>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</si>
  <si>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</si>
  <si>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</si>
  <si>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</si>
  <si>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</si>
  <si>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</si>
  <si>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</si>
  <si>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</si>
  <si>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</si>
  <si>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</si>
  <si>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</si>
  <si>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</si>
  <si>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</si>
  <si>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</si>
  <si>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</si>
  <si>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</si>
  <si>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</si>
  <si>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</si>
  <si>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</si>
  <si>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</si>
  <si>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</si>
  <si>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</si>
  <si>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</si>
  <si>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</si>
  <si>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</si>
  <si>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</si>
  <si>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</si>
  <si>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</si>
  <si>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</si>
  <si>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</si>
  <si>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</si>
  <si>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</si>
  <si>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</si>
  <si>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</si>
  <si>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</si>
  <si>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</si>
  <si>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</si>
  <si>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</si>
  <si>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</si>
  <si>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</si>
  <si>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</si>
  <si>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</si>
  <si>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</si>
  <si>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</si>
  <si>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</si>
  <si>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</si>
  <si>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</si>
  <si>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</si>
  <si>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</si>
  <si>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</si>
  <si>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</si>
  <si>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</si>
  <si>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</si>
  <si>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</si>
  <si>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</si>
  <si>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</si>
  <si>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</si>
  <si>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</si>
  <si>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</si>
  <si>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</si>
  <si>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</si>
  <si>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</si>
  <si>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</si>
  <si>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</si>
  <si>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</si>
  <si>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</si>
  <si>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</si>
  <si>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</si>
  <si>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</si>
  <si>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</si>
  <si>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</si>
  <si>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</si>
  <si>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</si>
  <si>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</si>
  <si>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</si>
  <si>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</si>
  <si>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</si>
  <si>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</si>
  <si>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</si>
  <si>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</si>
  <si>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</si>
  <si>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</si>
  <si>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</si>
  <si>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</si>
  <si>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</si>
  <si>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</si>
  <si>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</si>
  <si>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</si>
  <si>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</si>
  <si>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</si>
  <si>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</si>
  <si>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</si>
  <si>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</si>
  <si>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</si>
  <si>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</si>
  <si>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</si>
  <si>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</si>
  <si>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</si>
  <si>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</si>
  <si>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</si>
  <si>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</si>
  <si>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</si>
  <si>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</si>
  <si>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</si>
  <si>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</si>
  <si>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</si>
  <si>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</si>
  <si>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</si>
  <si>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</si>
  <si>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</si>
  <si>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</si>
  <si>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</si>
  <si>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</si>
  <si>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</si>
  <si>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</si>
  <si>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</si>
  <si>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</si>
  <si>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</si>
  <si>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</si>
  <si>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</si>
  <si>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</si>
  <si>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</si>
  <si>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</si>
  <si>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</si>
  <si>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</si>
  <si>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</si>
  <si>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</si>
  <si>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</si>
  <si>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</si>
  <si>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</si>
  <si>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</si>
  <si>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</si>
  <si>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</si>
  <si>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</si>
  <si>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</si>
  <si>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</si>
  <si>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</si>
  <si>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</si>
  <si>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</si>
  <si>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</si>
  <si>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</si>
  <si>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</si>
  <si>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</si>
  <si>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</si>
  <si>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</si>
  <si>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</si>
  <si>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</si>
  <si>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</si>
  <si>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</si>
  <si>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</si>
  <si>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</si>
  <si>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</si>
  <si>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</si>
  <si>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</si>
  <si>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</si>
  <si>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</si>
  <si>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</si>
  <si>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</si>
  <si>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</si>
  <si>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</si>
  <si>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</si>
  <si>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</si>
  <si>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</si>
  <si>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</si>
  <si>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</si>
  <si>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</si>
  <si>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</si>
  <si>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</si>
  <si>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</si>
  <si>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</si>
  <si>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</si>
  <si>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</si>
  <si>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</si>
  <si>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</si>
  <si>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</si>
  <si>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</si>
  <si>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</si>
  <si>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</si>
  <si>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</si>
  <si>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</si>
  <si>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</si>
  <si>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</si>
  <si>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</si>
  <si>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</si>
  <si>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</si>
  <si>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</si>
  <si>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</si>
  <si>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</si>
  <si>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</si>
  <si>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</si>
  <si>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</si>
  <si>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</si>
  <si>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</si>
  <si>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</si>
  <si>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</si>
  <si>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</si>
  <si>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</si>
  <si>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</si>
  <si>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</si>
  <si>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</si>
  <si>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</si>
  <si>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</si>
  <si>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</si>
  <si>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</si>
  <si>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</si>
  <si>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</si>
  <si>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</si>
  <si>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</si>
  <si>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</si>
  <si>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</si>
  <si>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</si>
  <si>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</si>
  <si>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</si>
  <si>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</si>
  <si>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</si>
  <si>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</si>
  <si>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</si>
  <si>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</si>
  <si>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</si>
  <si>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</si>
  <si>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</si>
  <si>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</si>
  <si>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</si>
  <si>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</si>
  <si>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</si>
  <si>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</si>
  <si>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</si>
  <si>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</si>
  <si>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</si>
  <si>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</si>
  <si>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</si>
  <si>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</si>
  <si>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</si>
  <si>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</si>
  <si>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</si>
  <si>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</si>
  <si>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</si>
  <si>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</si>
  <si>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</si>
  <si>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</si>
  <si>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</si>
  <si>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</si>
  <si>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</si>
  <si>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</si>
  <si>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</si>
  <si>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</si>
  <si>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</si>
  <si>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</si>
  <si>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</si>
  <si>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</si>
  <si>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</si>
  <si>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</si>
  <si>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</si>
  <si>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</si>
  <si>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</si>
  <si>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</si>
  <si>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</si>
  <si>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</si>
  <si>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</si>
  <si>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</si>
  <si>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</si>
  <si>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</si>
  <si>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</si>
  <si>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</si>
  <si>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</si>
  <si>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</si>
  <si>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</si>
  <si>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</si>
  <si>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</si>
  <si>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</si>
  <si>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</si>
  <si>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</si>
  <si>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</si>
  <si>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</si>
  <si>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</si>
  <si>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</si>
  <si>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</si>
  <si>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</si>
  <si>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</si>
  <si>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</si>
  <si>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</si>
  <si>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</si>
  <si>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</si>
  <si>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</si>
  <si>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</si>
  <si>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</si>
  <si>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</si>
  <si>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</si>
  <si>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</si>
  <si>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</si>
  <si>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</si>
  <si>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</si>
  <si>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</si>
  <si>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</si>
  <si>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</si>
  <si>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</si>
  <si>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</si>
  <si>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</si>
  <si>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</si>
  <si>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</si>
  <si>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</si>
  <si>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</si>
  <si>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</si>
  <si>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</si>
  <si>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</si>
  <si>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</si>
  <si>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</si>
  <si>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</si>
  <si>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</si>
  <si>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</si>
  <si>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</si>
  <si>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</si>
  <si>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</si>
  <si>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</si>
  <si>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</si>
  <si>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</si>
  <si>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</si>
  <si>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</si>
  <si>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</si>
  <si>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</si>
  <si>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</si>
  <si>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</si>
  <si>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</si>
  <si>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</si>
  <si>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</si>
  <si>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</si>
  <si>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</si>
  <si>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</si>
  <si>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</si>
  <si>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</si>
  <si>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</si>
  <si>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</si>
  <si>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</si>
  <si>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</si>
  <si>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</si>
  <si>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</si>
  <si>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</si>
  <si>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</si>
  <si>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</si>
  <si>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</si>
  <si>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</si>
  <si>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</si>
  <si>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</si>
  <si>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</si>
  <si>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</si>
  <si>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</si>
  <si>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</si>
  <si>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</si>
  <si>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</si>
  <si>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</si>
  <si>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</si>
  <si>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</si>
  <si>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</si>
  <si>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</si>
  <si>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</si>
  <si>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</si>
  <si>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</si>
  <si>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</si>
  <si>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</si>
  <si>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</si>
  <si>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</si>
  <si>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</si>
  <si>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</si>
  <si>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</si>
  <si>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</si>
  <si>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</si>
  <si>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</si>
  <si>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</si>
  <si>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</si>
  <si>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</si>
  <si>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</si>
  <si>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</si>
  <si>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</si>
  <si>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</si>
  <si>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</si>
  <si>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</si>
  <si>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</si>
  <si>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</si>
  <si>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</si>
  <si>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</si>
  <si>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</si>
  <si>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</si>
  <si>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</si>
  <si>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</si>
  <si>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</si>
  <si>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</si>
  <si>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</si>
  <si>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</si>
  <si>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</si>
  <si>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</si>
  <si>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</si>
  <si>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</si>
  <si>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</si>
  <si>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</si>
  <si>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</si>
  <si>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</si>
  <si>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</si>
  <si>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</si>
  <si>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</si>
  <si>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</si>
  <si>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</si>
  <si>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</si>
  <si>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</si>
  <si>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</si>
  <si>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</si>
  <si>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</si>
  <si>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</si>
  <si>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</si>
  <si>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</si>
  <si>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</si>
  <si>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</si>
  <si>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</si>
  <si>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</si>
  <si>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</si>
  <si>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</si>
  <si>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</si>
  <si>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</si>
  <si>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</si>
  <si>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</si>
  <si>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</si>
  <si>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</si>
  <si>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</si>
  <si>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</si>
  <si>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</si>
  <si>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</si>
  <si>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</si>
  <si>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</si>
  <si>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</si>
  <si>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</si>
  <si>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</si>
  <si>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</si>
  <si>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</si>
  <si>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</si>
  <si>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</si>
  <si>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</si>
  <si>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</si>
  <si>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</si>
  <si>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</si>
  <si>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</si>
  <si>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</si>
  <si>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</si>
  <si>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</si>
  <si>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</si>
  <si>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</si>
  <si>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</si>
  <si>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</si>
  <si>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</si>
  <si>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</si>
  <si>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</si>
  <si>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</si>
  <si>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</si>
  <si>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</si>
  <si>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</si>
  <si>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</si>
  <si>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</si>
  <si>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</si>
  <si>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</si>
  <si>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</si>
  <si>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</si>
  <si>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</si>
  <si>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</si>
  <si>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</si>
  <si>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</si>
  <si>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</si>
  <si>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</si>
  <si>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</si>
  <si>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</si>
  <si>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</si>
  <si>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</si>
  <si>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</si>
  <si>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</si>
  <si>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</si>
  <si>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</si>
  <si>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</si>
  <si>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</si>
  <si>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</si>
  <si>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</si>
  <si>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</si>
  <si>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</si>
  <si>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</si>
  <si>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</si>
  <si>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</si>
  <si>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</si>
  <si>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</si>
  <si>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</si>
  <si>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</si>
  <si>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</si>
  <si>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</si>
  <si>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</si>
  <si>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</si>
  <si>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</si>
  <si>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</si>
  <si>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</si>
  <si>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</si>
  <si>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</si>
  <si>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</si>
  <si>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</si>
  <si>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</si>
  <si>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</si>
  <si>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</si>
  <si>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</si>
  <si>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</si>
  <si>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</si>
  <si>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</si>
  <si>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</si>
  <si>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</si>
  <si>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</si>
  <si>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</si>
  <si>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</si>
  <si>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</si>
  <si>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</si>
  <si>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</si>
  <si>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</si>
  <si>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</si>
  <si>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</si>
  <si>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</si>
  <si>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</si>
  <si>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</si>
  <si>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</si>
  <si>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</si>
  <si>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</si>
  <si>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</si>
  <si>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</si>
  <si>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</si>
  <si>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</si>
  <si>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</si>
  <si>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</si>
  <si>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</si>
  <si>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</si>
  <si>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</si>
  <si>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</si>
  <si>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</si>
  <si>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</si>
  <si>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</si>
  <si>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</si>
  <si>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</si>
  <si>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</si>
  <si>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</si>
  <si>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</si>
  <si>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</si>
  <si>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</si>
  <si>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</si>
  <si>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</si>
  <si>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</si>
  <si>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</si>
  <si>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</si>
  <si>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</si>
  <si>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</si>
  <si>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</si>
  <si>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</si>
  <si>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</si>
  <si>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</si>
  <si>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</si>
  <si>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</si>
  <si>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</si>
  <si>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</si>
  <si>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</si>
  <si>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</si>
  <si>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</si>
  <si>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</si>
  <si>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</si>
  <si>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</si>
  <si>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</si>
  <si>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</si>
  <si>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</si>
  <si>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</si>
  <si>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</si>
  <si>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</si>
  <si>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</si>
  <si>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</si>
  <si>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</si>
  <si>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</si>
  <si>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</si>
  <si>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</si>
  <si>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</si>
  <si>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</si>
  <si>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</si>
  <si>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</si>
  <si>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</si>
  <si>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</si>
  <si>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</si>
  <si>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</si>
  <si>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</si>
  <si>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</si>
  <si>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</si>
  <si>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</si>
  <si>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</si>
  <si>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</si>
  <si>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</si>
  <si>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</si>
  <si>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</si>
  <si>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</si>
  <si>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</si>
  <si>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</si>
  <si>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</si>
  <si>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</si>
  <si>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</si>
  <si>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</si>
  <si>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</si>
  <si>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</si>
  <si>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</si>
  <si>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</si>
  <si>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</si>
  <si>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</si>
  <si>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</si>
  <si>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</si>
  <si>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</si>
  <si>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</si>
  <si>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</si>
  <si>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</si>
  <si>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</si>
  <si>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</si>
  <si>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</si>
  <si>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</si>
  <si>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</si>
  <si>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</si>
  <si>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</si>
  <si>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</si>
  <si>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</si>
  <si>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</si>
  <si>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</si>
  <si>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</si>
  <si>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</si>
  <si>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</si>
  <si>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</si>
  <si>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</si>
  <si>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</si>
  <si>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</si>
  <si>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</si>
  <si>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</si>
  <si>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</si>
  <si>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</si>
  <si>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</si>
  <si>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</si>
  <si>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</si>
  <si>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</si>
  <si>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</si>
  <si>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</si>
  <si>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</si>
  <si>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</si>
  <si>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</si>
  <si>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</si>
  <si>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</si>
  <si>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</si>
  <si>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</si>
  <si>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</si>
  <si>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</si>
  <si>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</si>
  <si>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</si>
  <si>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</si>
  <si>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</si>
  <si>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</si>
  <si>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</si>
  <si>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</si>
  <si>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</si>
  <si>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</si>
  <si>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</si>
  <si>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</si>
  <si>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</si>
  <si>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</si>
  <si>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</si>
  <si>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</si>
  <si>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</si>
  <si>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</si>
  <si>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</si>
  <si>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</si>
  <si>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</si>
  <si>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</si>
  <si>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</si>
  <si>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</si>
  <si>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</si>
  <si>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</si>
  <si>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</si>
  <si>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</si>
  <si>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</si>
  <si>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</si>
  <si>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</si>
  <si>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</si>
  <si>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</si>
  <si>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</si>
  <si>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</si>
  <si>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</si>
  <si>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</si>
  <si>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</si>
  <si>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</si>
  <si>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</si>
  <si>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</si>
  <si>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</si>
  <si>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</si>
  <si>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</si>
  <si>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</si>
  <si>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</si>
  <si>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</si>
  <si>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</si>
  <si>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</si>
  <si>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</si>
  <si>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</si>
  <si>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</si>
  <si>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</si>
  <si>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</si>
  <si>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</si>
  <si>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</si>
  <si>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</si>
  <si>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</si>
  <si>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</si>
  <si>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</si>
  <si>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</si>
  <si>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</si>
  <si>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</si>
  <si>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</si>
  <si>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</si>
  <si>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</si>
  <si>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</si>
  <si>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</si>
  <si>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</si>
  <si>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</si>
  <si>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</si>
  <si>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</si>
  <si>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</si>
  <si>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</si>
  <si>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</si>
  <si>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</si>
  <si>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</si>
  <si>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</si>
  <si>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</si>
  <si>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</si>
  <si>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</si>
  <si>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</si>
  <si>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</si>
  <si>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</si>
  <si>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</si>
  <si>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</si>
  <si>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</si>
  <si>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</si>
  <si>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</si>
  <si>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</si>
  <si>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</si>
  <si>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</si>
  <si>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</si>
  <si>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</si>
  <si>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</si>
  <si>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</si>
  <si>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</si>
  <si>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</si>
  <si>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</si>
  <si>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</si>
  <si>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</si>
  <si>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</si>
  <si>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</si>
  <si>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</si>
  <si>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</si>
  <si>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</si>
  <si>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</si>
  <si>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</si>
  <si>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</si>
  <si>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</si>
  <si>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</si>
  <si>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</si>
  <si>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</si>
  <si>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</si>
  <si>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</si>
  <si>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</si>
  <si>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</si>
  <si>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</si>
  <si>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</si>
  <si>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</si>
  <si>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</si>
  <si>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</si>
  <si>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</si>
  <si>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</si>
  <si>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</si>
  <si>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</si>
  <si>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</si>
  <si>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</si>
  <si>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</si>
  <si>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</si>
  <si>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</si>
  <si>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</si>
  <si>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</si>
  <si>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</si>
  <si>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</si>
  <si>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</si>
  <si>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</si>
  <si>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</si>
  <si>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</si>
  <si>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</si>
  <si>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</si>
  <si>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</si>
  <si>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</si>
  <si>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</si>
  <si>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</si>
  <si>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</si>
  <si>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</si>
  <si>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</si>
  <si>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</si>
  <si>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</si>
  <si>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</si>
  <si>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</si>
  <si>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</si>
  <si>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</si>
  <si>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</si>
  <si>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</si>
  <si>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</si>
  <si>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</si>
  <si>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</si>
  <si>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</si>
  <si>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</si>
  <si>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</si>
  <si>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</si>
  <si>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</si>
  <si>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</si>
  <si>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</si>
  <si>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</si>
  <si>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</si>
  <si>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</si>
  <si>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</si>
  <si>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</si>
  <si>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</si>
  <si>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</si>
  <si>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</si>
  <si>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</si>
  <si>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</si>
  <si>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</si>
  <si>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</si>
  <si>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</si>
  <si>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</si>
  <si>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</si>
  <si>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</si>
  <si>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</si>
  <si>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</si>
  <si>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</si>
  <si>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</si>
  <si>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</si>
  <si>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</si>
  <si>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</si>
  <si>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</si>
  <si>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</si>
  <si>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</si>
  <si>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</si>
  <si>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</si>
  <si>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</si>
  <si>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</si>
  <si>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</si>
  <si>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</si>
  <si>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</si>
  <si>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</si>
  <si>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</si>
  <si>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</si>
  <si>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</si>
  <si>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</si>
  <si>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</si>
  <si>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</si>
  <si>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</si>
  <si>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</si>
  <si>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</si>
  <si>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</si>
  <si>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</si>
  <si>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</si>
  <si>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</si>
  <si>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</si>
  <si>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</si>
  <si>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</si>
  <si>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</si>
  <si>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</si>
  <si>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</si>
  <si>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</si>
  <si>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</si>
  <si>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</si>
  <si>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</si>
  <si>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</si>
  <si>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</si>
  <si>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</si>
  <si>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</si>
  <si>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</si>
  <si>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</si>
  <si>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</si>
  <si>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</si>
  <si>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</si>
  <si>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</si>
  <si>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</si>
  <si>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</si>
  <si>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</si>
  <si>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</si>
  <si>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</si>
  <si>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</si>
  <si>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</si>
  <si>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</si>
  <si>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</si>
  <si>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</si>
  <si>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</si>
  <si>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</si>
  <si>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</si>
  <si>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</si>
  <si>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</si>
  <si>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</si>
  <si>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</si>
  <si>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</si>
  <si>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</si>
  <si>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</si>
  <si>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</si>
  <si>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</si>
  <si>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</si>
  <si>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</si>
  <si>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</si>
  <si>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</si>
  <si>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</si>
  <si>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</si>
  <si>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</si>
  <si>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</si>
  <si>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</si>
  <si>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</si>
  <si>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</si>
  <si>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</si>
  <si>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</si>
  <si>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</si>
  <si>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</si>
  <si>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</si>
  <si>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</si>
  <si>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</si>
  <si>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</si>
  <si>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</si>
  <si>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</si>
  <si>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</si>
  <si>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</si>
  <si>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</si>
  <si>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</si>
  <si>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</si>
  <si>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</si>
  <si>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</si>
  <si>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</si>
  <si>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</si>
  <si>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</si>
  <si>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</si>
  <si>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</si>
  <si>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</si>
  <si>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</si>
  <si>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</si>
  <si>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</si>
  <si>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</si>
  <si>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</si>
  <si>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</si>
  <si>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</si>
  <si>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</si>
  <si>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</si>
  <si>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</si>
  <si>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</si>
  <si>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</si>
  <si>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</si>
  <si>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</si>
  <si>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</si>
  <si>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</si>
  <si>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</si>
  <si>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</si>
  <si>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</si>
  <si>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</si>
  <si>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</si>
  <si>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</si>
  <si>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</si>
  <si>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</si>
  <si>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</si>
  <si>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</si>
  <si>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</si>
  <si>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</si>
  <si>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</si>
  <si>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</si>
  <si>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</si>
  <si>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</si>
  <si>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</si>
  <si>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</si>
  <si>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</si>
  <si>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</si>
  <si>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</si>
  <si>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</si>
  <si>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</si>
  <si>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</si>
  <si>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</si>
  <si>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</si>
  <si>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</si>
  <si>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</si>
  <si>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</si>
  <si>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</si>
  <si>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</si>
  <si>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</si>
  <si>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</si>
  <si>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</si>
  <si>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</si>
  <si>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</si>
  <si>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</si>
  <si>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</si>
  <si>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</si>
  <si>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</si>
  <si>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</si>
  <si>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</si>
  <si>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</si>
  <si>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</si>
  <si>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</si>
  <si>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CARAMY</t>
  </si>
  <si>
    <t xml:space="preserve">Vins-sur-Caramy</t>
  </si>
  <si>
    <t xml:space="preserve">06204000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</si>
  <si>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</si>
  <si>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</si>
  <si>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</si>
  <si>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</si>
  <si>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</si>
  <si>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</si>
  <si>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</si>
  <si>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</si>
  <si>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</si>
  <si>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ch. lentique</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</si>
  <si>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</si>
  <si>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</si>
  <si>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</si>
  <si>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</si>
  <si>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</si>
  <si>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</si>
  <si>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</si>
  <si>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</si>
  <si>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</si>
  <si>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</si>
  <si>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</si>
  <si>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</si>
  <si>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</si>
  <si>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</si>
  <si>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</si>
  <si>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</si>
  <si>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</si>
  <si>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</si>
  <si>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</si>
  <si>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</si>
  <si>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</si>
  <si>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</si>
  <si>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</si>
  <si>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</si>
  <si>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</si>
  <si>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</si>
  <si>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</si>
  <si>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</si>
  <si>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</si>
  <si>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</si>
  <si>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</si>
  <si>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</si>
  <si>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</si>
  <si>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</si>
  <si>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</si>
  <si>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</si>
  <si>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</si>
  <si>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</si>
  <si>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</si>
  <si>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(2,3338 %)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</si>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</sst>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4" borderId="55" xfId="0" applyFont="true" applyBorder="true" applyAlignment="true" applyProtection="true">
      <alignment horizontal="left" vertical="top" textRotation="0" wrapText="false" indent="0" shrinkToFit="false"/>
      <protection locked="true" hidden="true"/>
    </xf>
    <xf numFmtId="172" fontId="20" fillId="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69"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70" fillId="4" borderId="68" xfId="0" applyFont="true" applyBorder="true" applyAlignment="true" applyProtection="true">
      <alignment horizontal="center" vertical="top" textRotation="0" wrapText="false" indent="0" shrinkToFit="false"/>
      <protection locked="true" hidden="true"/>
    </xf>
    <xf numFmtId="164" fontId="70" fillId="11" borderId="57" xfId="0" applyFont="true" applyBorder="true" applyAlignment="true" applyProtection="true">
      <alignment horizontal="center" vertical="top" textRotation="0" wrapText="false" indent="0" shrinkToFit="false"/>
      <protection locked="true" hidden="true"/>
    </xf>
    <xf numFmtId="164" fontId="71"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2"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3" fillId="12" borderId="32" xfId="0" applyFont="true" applyBorder="true" applyAlignment="true" applyProtection="true">
      <alignment horizontal="left" vertical="top" textRotation="0" wrapText="false" indent="0" shrinkToFit="false"/>
      <protection locked="true" hidden="true"/>
    </xf>
    <xf numFmtId="164" fontId="74" fillId="12" borderId="33" xfId="0" applyFont="true" applyBorder="true" applyAlignment="true" applyProtection="true">
      <alignment horizontal="left" vertical="top" textRotation="0" wrapText="false" indent="0" shrinkToFit="false"/>
      <protection locked="true" hidden="true"/>
    </xf>
    <xf numFmtId="164" fontId="74" fillId="12" borderId="69" xfId="0" applyFont="true" applyBorder="true" applyAlignment="true" applyProtection="true">
      <alignment horizontal="left" vertical="top" textRotation="0" wrapText="false" indent="0" shrinkToFit="false"/>
      <protection locked="true" hidden="true"/>
    </xf>
    <xf numFmtId="164" fontId="74"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5"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3"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4"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6" fillId="0" borderId="0" xfId="0" applyFont="true" applyBorder="false" applyAlignment="false" applyProtection="true">
      <alignment horizontal="general" vertical="bottom" textRotation="0" wrapText="false" indent="0" shrinkToFit="false"/>
      <protection locked="true" hidden="true"/>
    </xf>
    <xf numFmtId="174" fontId="76" fillId="10" borderId="44" xfId="0" applyFont="true" applyBorder="true" applyAlignment="false" applyProtection="true">
      <alignment horizontal="general" vertical="bottom" textRotation="0" wrapText="false" indent="0" shrinkToFit="false"/>
      <protection locked="true" hidden="true"/>
    </xf>
    <xf numFmtId="164" fontId="76"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8"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6"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9" fillId="9" borderId="0" xfId="0" applyFont="true" applyBorder="true" applyAlignment="false" applyProtection="true">
      <alignment horizontal="general" vertical="bottom" textRotation="0" wrapText="false" indent="0" shrinkToFit="false"/>
      <protection locked="true" hidden="true"/>
    </xf>
    <xf numFmtId="164" fontId="79" fillId="9" borderId="33" xfId="0" applyFont="true" applyBorder="true" applyAlignment="false" applyProtection="true">
      <alignment horizontal="general" vertical="bottom" textRotation="0" wrapText="false" indent="0" shrinkToFit="false"/>
      <protection locked="true" hidden="true"/>
    </xf>
    <xf numFmtId="164" fontId="79"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8" fillId="9" borderId="58" xfId="0" applyFont="true" applyBorder="true" applyAlignment="true" applyProtection="true">
      <alignment horizontal="center" vertical="bottom" textRotation="0" wrapText="false" indent="0" shrinkToFit="false"/>
      <protection locked="true" hidden="true"/>
    </xf>
    <xf numFmtId="175" fontId="78"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3"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8" fillId="10" borderId="39" xfId="0" applyFont="true" applyBorder="true" applyAlignment="true" applyProtection="true">
      <alignment horizontal="right" vertical="bottom" textRotation="0" wrapText="false" indent="0" shrinkToFit="false"/>
      <protection locked="true" hidden="true"/>
    </xf>
    <xf numFmtId="174" fontId="78"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8" fillId="6" borderId="0" xfId="0" applyFont="true" applyBorder="false" applyAlignment="false" applyProtection="true">
      <alignment horizontal="general" vertical="bottom" textRotation="0" wrapText="false" indent="0" shrinkToFit="false"/>
      <protection locked="true" hidden="true"/>
    </xf>
    <xf numFmtId="164" fontId="79"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9"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8"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8" fillId="10" borderId="43" xfId="0" applyFont="true" applyBorder="true" applyAlignment="true" applyProtection="true">
      <alignment horizontal="right" vertical="bottom" textRotation="0" wrapText="false" indent="0" shrinkToFit="false"/>
      <protection locked="true" hidden="true"/>
    </xf>
    <xf numFmtId="174" fontId="78" fillId="10" borderId="43" xfId="0" applyFont="true" applyBorder="true" applyAlignment="true" applyProtection="false">
      <alignment horizontal="right" vertical="bottom" textRotation="0" wrapText="false" indent="0" shrinkToFit="false"/>
      <protection locked="true" hidden="false"/>
    </xf>
    <xf numFmtId="164" fontId="7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0"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0"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1" fillId="2" borderId="9" xfId="0" applyFont="true" applyBorder="true" applyAlignment="false" applyProtection="false">
      <alignment horizontal="general" vertical="bottom" textRotation="0" wrapText="false" indent="0" shrinkToFit="false"/>
      <protection locked="true" hidden="false"/>
    </xf>
    <xf numFmtId="164" fontId="82" fillId="2" borderId="0" xfId="0" applyFont="true" applyBorder="true" applyAlignment="true" applyProtection="false">
      <alignment horizontal="general" vertical="bottom" textRotation="0" wrapText="false" indent="0" shrinkToFit="false"/>
      <protection locked="true" hidden="false"/>
    </xf>
    <xf numFmtId="164" fontId="83" fillId="2" borderId="0" xfId="0" applyFont="true" applyBorder="true" applyAlignment="false" applyProtection="false">
      <alignment horizontal="general" vertical="bottom" textRotation="0" wrapText="false" indent="0" shrinkToFit="false"/>
      <protection locked="true" hidden="false"/>
    </xf>
    <xf numFmtId="164" fontId="84"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2"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5" fillId="11" borderId="18" xfId="0" applyFont="true" applyBorder="true" applyAlignment="false" applyProtection="false">
      <alignment horizontal="general" vertical="bottom" textRotation="0" wrapText="false" indent="0" shrinkToFit="false"/>
      <protection locked="true" hidden="false"/>
    </xf>
    <xf numFmtId="164" fontId="85" fillId="0"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0" shrinkToFit="false"/>
      <protection locked="true" hidden="false"/>
    </xf>
    <xf numFmtId="164" fontId="87" fillId="11" borderId="0" xfId="0" applyFont="true" applyBorder="true" applyAlignment="true" applyProtection="false">
      <alignment horizontal="center" vertical="bottom" textRotation="0" wrapText="false" indent="0" shrinkToFit="false"/>
      <protection locked="true" hidden="false"/>
    </xf>
    <xf numFmtId="164" fontId="87" fillId="11" borderId="18" xfId="0" applyFont="true" applyBorder="true" applyAlignment="true" applyProtection="false">
      <alignment horizontal="center" vertical="bottom" textRotation="0" wrapText="false" indent="0" shrinkToFit="false"/>
      <protection locked="true" hidden="false"/>
    </xf>
    <xf numFmtId="164" fontId="87" fillId="0" borderId="0" xfId="0" applyFont="true" applyBorder="true" applyAlignment="true" applyProtection="false">
      <alignment horizontal="center"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general" vertical="bottom" textRotation="0" wrapText="false" indent="0" shrinkToFit="false"/>
      <protection locked="true" hidden="false"/>
    </xf>
    <xf numFmtId="164" fontId="87" fillId="11" borderId="18" xfId="0" applyFont="true" applyBorder="true" applyAlignment="true" applyProtection="false">
      <alignment horizontal="left" vertical="bottom" textRotation="0" wrapText="false" indent="0" shrinkToFit="false"/>
      <protection locked="true" hidden="false"/>
    </xf>
    <xf numFmtId="164" fontId="85" fillId="0" borderId="0" xfId="0" applyFont="true" applyBorder="true" applyAlignment="true" applyProtection="false">
      <alignment horizontal="general" vertical="bottom" textRotation="0" wrapText="false" indent="0" shrinkToFit="false"/>
      <protection locked="true" hidden="false"/>
    </xf>
    <xf numFmtId="164" fontId="85"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5" fillId="11" borderId="0" xfId="0" applyFont="true" applyBorder="true" applyAlignment="true" applyProtection="false">
      <alignment horizontal="left" vertical="bottom" textRotation="0" wrapText="false" indent="1" shrinkToFit="false"/>
      <protection locked="true" hidden="false"/>
    </xf>
    <xf numFmtId="164" fontId="85" fillId="11" borderId="0" xfId="0" applyFont="true" applyBorder="true" applyAlignment="true" applyProtection="false">
      <alignment horizontal="center" vertical="bottom" textRotation="0" wrapText="false" indent="0" shrinkToFit="false"/>
      <protection locked="true" hidden="false"/>
    </xf>
    <xf numFmtId="164" fontId="85" fillId="11" borderId="18" xfId="0" applyFont="true" applyBorder="true" applyAlignment="true" applyProtection="false">
      <alignment horizontal="center" vertical="bottom" textRotation="0" wrapText="false" indent="0" shrinkToFit="false"/>
      <protection locked="true" hidden="false"/>
    </xf>
    <xf numFmtId="164" fontId="85"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9"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5" fillId="11" borderId="11" xfId="0" applyFont="true" applyBorder="true" applyAlignment="false" applyProtection="false">
      <alignment horizontal="general" vertical="bottom" textRotation="0" wrapText="false" indent="0" shrinkToFit="false"/>
      <protection locked="true" hidden="false"/>
    </xf>
    <xf numFmtId="164" fontId="85"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69"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3" fillId="9" borderId="19" xfId="0" applyFont="true" applyBorder="true" applyAlignment="true" applyProtection="false">
      <alignment horizontal="left" vertical="bottom" textRotation="0" wrapText="false" indent="0" shrinkToFit="false"/>
      <protection locked="true" hidden="false"/>
    </xf>
    <xf numFmtId="164" fontId="73"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41850</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10.2857142857143</v>
      </c>
      <c r="M5" s="276"/>
      <c r="N5" s="277" t="s">
        <v>749</v>
      </c>
      <c r="O5" s="278" t="n">
        <v>8.25</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42</v>
      </c>
      <c r="C7" s="290" t="n">
        <v>58</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8.14285714285714</v>
      </c>
      <c r="O8" s="307" t="n">
        <f aca="false">IF(ISERROR(AVERAGE(J23:J82)),"      -",AVERAGE(J23:J82))</f>
        <v>1.14285714285714</v>
      </c>
      <c r="P8" s="308"/>
      <c r="Q8" s="233"/>
      <c r="R8" s="233"/>
      <c r="S8" s="233"/>
      <c r="T8" s="233"/>
      <c r="U8" s="233"/>
      <c r="V8" s="233"/>
      <c r="W8" s="245"/>
      <c r="X8" s="246"/>
    </row>
    <row r="9" customFormat="false" ht="13.5" hidden="false" customHeight="false" outlineLevel="0" collapsed="false">
      <c r="A9" s="266" t="s">
        <v>2630</v>
      </c>
      <c r="B9" s="309" t="n">
        <v>4</v>
      </c>
      <c r="C9" s="310" t="n">
        <v>1</v>
      </c>
      <c r="D9" s="311"/>
      <c r="E9" s="311"/>
      <c r="F9" s="312" t="n">
        <f aca="false">($B9*$B$7+$C9*$C$7)/100</f>
        <v>2.26</v>
      </c>
      <c r="G9" s="313"/>
      <c r="H9" s="314"/>
      <c r="I9" s="315"/>
      <c r="J9" s="316"/>
      <c r="K9" s="296"/>
      <c r="L9" s="317"/>
      <c r="M9" s="306" t="s">
        <v>2631</v>
      </c>
      <c r="N9" s="307" t="n">
        <f aca="false">IF(ISERROR(STDEVP(I23:I82)),"     -",STDEVP(I23:I82))</f>
        <v>4.54905237945447</v>
      </c>
      <c r="O9" s="307" t="n">
        <f aca="false">IF(ISERROR(STDEVP(J23:J82)),"      -",STDEVP(J23:J82))</f>
        <v>0.63887656499994</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13</v>
      </c>
      <c r="O11" s="329" t="n">
        <f aca="false">MAX(J23:J82)</f>
        <v>2</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2</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7</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7</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1</v>
      </c>
      <c r="L15" s="339"/>
      <c r="M15" s="360" t="s">
        <v>2648</v>
      </c>
      <c r="N15" s="361" t="n">
        <f aca="false">COUNTIF(J23:J82,"=1")</f>
        <v>4</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2</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4.3</v>
      </c>
      <c r="C20" s="389" t="n">
        <f aca="false">SUM(C23:C82)</f>
        <v>0.91</v>
      </c>
      <c r="D20" s="390"/>
      <c r="E20" s="391" t="s">
        <v>2654</v>
      </c>
      <c r="F20" s="392" t="n">
        <f aca="false">($B20*$B$7+$C20*$C$7)/100</f>
        <v>2.3338</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1.806</v>
      </c>
      <c r="C21" s="402" t="n">
        <f aca="false">C20*C7/100</f>
        <v>0.5278</v>
      </c>
      <c r="D21" s="334" t="str">
        <f aca="false">IF(F21=0,"",IF((ABS(F21-F19))&gt;(0.2*F21),CONCATENATE(" rec. par taxa (",F21," %) supérieur à 20 % !"),""))</f>
        <v> rec. par taxa (2,3338 %) supérieur à 20 % !</v>
      </c>
      <c r="E21" s="403" t="str">
        <f aca="false">IF(F21=0,"",IF((ABS(F21-F19))&gt;(0.2*F21),CONCATENATE("ATTENTION : écart entre rec. par grp (",F19," %) ","et",""),""))</f>
        <v>ATTENTION : écart entre rec. par grp (0 %) et</v>
      </c>
      <c r="F21" s="404" t="n">
        <f aca="false">B21+C21</f>
        <v>2.3338</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0.5</v>
      </c>
      <c r="C23" s="429" t="n">
        <v>0.1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0.268</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0.268</v>
      </c>
      <c r="R23" s="440" t="n">
        <f aca="false">IF(OR(ISTEXT(H23),Q23=0),"",IF(Q23&lt;0.1,1,IF(Q23&lt;1,2,IF(Q23&lt;10,3,IF(Q23&lt;50,4,IF(Q23&gt;=50,5,""))))))</f>
        <v>2</v>
      </c>
      <c r="S23" s="440" t="n">
        <f aca="false">IF(ISERROR(R23*I23),0,R23*I23)</f>
        <v>12</v>
      </c>
      <c r="T23" s="440" t="n">
        <f aca="false">IF(ISERROR(R23*I23*J23),0,R23*I23*J23)</f>
        <v>12</v>
      </c>
      <c r="U23" s="440" t="n">
        <f aca="false">IF(ISERROR(R23*J23),0,R23*J23)</f>
        <v>2</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301</v>
      </c>
      <c r="B24" s="447" t="n">
        <v>1</v>
      </c>
      <c r="C24" s="448" t="n">
        <v>0.75</v>
      </c>
      <c r="D24" s="430" t="str">
        <f aca="false">IF(ISERROR(VLOOKUP($A24,'liste reference'!$A$7:$D$904,2,0)),IF(ISERROR(VLOOKUP($A24,'liste reference'!$B$7:$D$904,1,0)),"",VLOOKUP($A24,'liste reference'!$B$7:$D$904,1,0)),VLOOKUP($A24,'liste reference'!$A$7:$D$904,2,0))</f>
        <v>Vaucheria sp.</v>
      </c>
      <c r="E24" s="449" t="e">
        <f aca="false">IF(D24="",0,VLOOKUP(D24,D$22:D23,1,0))</f>
        <v>#N/A</v>
      </c>
      <c r="F24" s="450" t="n">
        <f aca="false">($B24*$B$7+$C24*$C$7)/100</f>
        <v>0.855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4</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Vaucheria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6193</v>
      </c>
      <c r="Q24" s="439" t="n">
        <f aca="false">IF(ISTEXT(H24),"",(B24*$B$7/100)+(C24*$C$7/100))</f>
        <v>0.855</v>
      </c>
      <c r="R24" s="440" t="n">
        <f aca="false">IF(OR(ISTEXT(H24),Q24=0),"",IF(Q24&lt;0.1,1,IF(Q24&lt;1,2,IF(Q24&lt;10,3,IF(Q24&lt;50,4,IF(Q24&gt;=50,5,""))))))</f>
        <v>2</v>
      </c>
      <c r="S24" s="440" t="n">
        <f aca="false">IF(ISERROR(R24*I24),0,R24*I24)</f>
        <v>8</v>
      </c>
      <c r="T24" s="440" t="n">
        <f aca="false">IF(ISERROR(R24*I24*J24),0,R24*I24*J24)</f>
        <v>8</v>
      </c>
      <c r="U24" s="452" t="n">
        <f aca="false">IF(ISERROR(R24*J24),0,R24*J24)</f>
        <v>2</v>
      </c>
      <c r="V24" s="441" t="str">
        <f aca="false">IF(AND(A24="",F24=0),"",IF(F24=0,"Il manque le(s) % de rec. !",""))</f>
        <v/>
      </c>
      <c r="W24" s="442"/>
      <c r="Y24" s="443" t="str">
        <f aca="false">IF(A24="new.cod","NEWCOD",IF(AND((Z24=""),ISTEXT(A24)),A24,IF(Z24="","",INDEX('liste reference'!$A$8:$A$904,Z24))))</f>
        <v>VAUSPX</v>
      </c>
      <c r="Z24" s="233" t="n">
        <f aca="false">IF(ISERROR(MATCH(A24,'liste reference'!$A$8:$A$904,0)),IF(ISERROR(MATCH(A24,'liste reference'!$B$8:$B$904,0)),"",(MATCH(A24,'liste reference'!$B$8:$B$904,0))),(MATCH(A24,'liste reference'!$A$8:$A$904,0)))</f>
        <v>82</v>
      </c>
      <c r="AA24" s="444"/>
      <c r="AB24" s="445"/>
      <c r="AC24" s="445"/>
      <c r="BB24" s="233" t="n">
        <f aca="false">IF(A24="","",1)</f>
        <v>1</v>
      </c>
    </row>
    <row r="25" customFormat="false" ht="12.75" hidden="false" customHeight="false" outlineLevel="0" collapsed="false">
      <c r="A25" s="446" t="s">
        <v>512</v>
      </c>
      <c r="B25" s="447" t="n">
        <v>0.1</v>
      </c>
      <c r="C25" s="448" t="n">
        <v>0.05</v>
      </c>
      <c r="D25" s="430" t="str">
        <f aca="false">IF(ISERROR(VLOOKUP($A25,'liste reference'!$A$7:$D$904,2,0)),IF(ISERROR(VLOOKUP($A25,'liste reference'!$B$7:$D$904,1,0)),"",VLOOKUP($A25,'liste reference'!$B$7:$D$904,1,0)),VLOOKUP($A25,'liste reference'!$A$7:$D$904,2,0))</f>
        <v>Pellia endiviifolia</v>
      </c>
      <c r="E25" s="449" t="e">
        <f aca="false">IF(D25="",0,VLOOKUP(D25,D$22:D24,1,0))</f>
        <v>#N/A</v>
      </c>
      <c r="F25" s="450" t="n">
        <f aca="false">($B25*$B$7+$C25*$C$7)/100</f>
        <v>0.071</v>
      </c>
      <c r="G25" s="432" t="str">
        <f aca="false">IF(A25="","",IF(ISERROR(VLOOKUP($A25,'liste reference'!$A$7:$P$904,13,0)),IF(ISERROR(VLOOKUP($A25,'liste reference'!$B$7:$P$904,12,0)),"    -",VLOOKUP($A25,'liste reference'!$B$7:$P$904,12,0)),VLOOKUP($A25,'liste reference'!$A$7:$P$904,13,0)))</f>
        <v>BRh</v>
      </c>
      <c r="H25" s="433" t="n">
        <f aca="false">IF(A25="","x",IF(ISERROR(VLOOKUP($A25,'liste reference'!$A$8:$P$904,14,0)),IF(ISERROR(VLOOKUP($A25,'liste reference'!$B$8:$P$904,13,0)),"x",VLOOKUP($A25,'liste reference'!$B$8:$P$904,13,0)),VLOOKUP($A25,'liste reference'!$A$8:$P$904,14,0)))</f>
        <v>4</v>
      </c>
      <c r="I25" s="434" t="n">
        <f aca="false">IF(ISNUMBER(H25),IF(ISERROR(VLOOKUP($A25,'liste reference'!$A$7:$P$904,3,0)),IF(ISERROR(VLOOKUP($A25,'liste reference'!$B$7:$P$904,2,0)),"",VLOOKUP($A25,'liste reference'!$B$7:$P$904,2,0)),VLOOKUP($A25,'liste reference'!$A$7:$P$904,3,0)),"")</f>
        <v>0</v>
      </c>
      <c r="J25" s="434" t="n">
        <f aca="false">IF(ISNUMBER(H25),IF(ISERROR(VLOOKUP($A25,'liste reference'!$A$7:$P$904,4,0)),IF(ISERROR(VLOOKUP($A25,'liste reference'!$B$7:$P$904,3,0)),"",VLOOKUP($A25,'liste reference'!$B$7:$P$904,3,0)),VLOOKUP($A25,'liste reference'!$A$7:$P$904,4,0)),"")</f>
        <v>0</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Pellia endiviifolia</v>
      </c>
      <c r="L25" s="451"/>
      <c r="M25" s="451"/>
      <c r="N25" s="451"/>
      <c r="O25" s="437" t="s">
        <v>2679</v>
      </c>
      <c r="P25" s="438" t="n">
        <f aca="false">IF($A25="NEWCOD",IF($AC25="","No",$AC25),IF(ISTEXT($E25),"DEJA SAISI !",IF($A25="","",IF(ISERROR(VLOOKUP($A25,'liste reference'!A:S,19,FALSE())),IF(ISERROR(VLOOKUP($A25,'liste reference'!B:S,19,FALSE())),"",VLOOKUP($A25,'liste reference'!B:S,19,FALSE())),VLOOKUP($A25,'liste reference'!A:S,19,FALSE())))))</f>
        <v>1197</v>
      </c>
      <c r="Q25" s="439" t="n">
        <f aca="false">IF(ISTEXT(H25),"",(B25*$B$7/100)+(C25*$C$7/100))</f>
        <v>0.071</v>
      </c>
      <c r="R25" s="440" t="n">
        <f aca="false">IF(OR(ISTEXT(H25),Q25=0),"",IF(Q25&lt;0.1,1,IF(Q25&lt;1,2,IF(Q25&lt;10,3,IF(Q25&lt;50,4,IF(Q25&gt;=50,5,""))))))</f>
        <v>1</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PELEND</v>
      </c>
      <c r="Z25" s="233" t="n">
        <f aca="false">IF(ISERROR(MATCH(A25,'liste reference'!$A$8:$A$904,0)),IF(ISERROR(MATCH(A25,'liste reference'!$B$8:$B$904,0)),"",(MATCH(A25,'liste reference'!$B$8:$B$904,0))),(MATCH(A25,'liste reference'!$A$8:$A$904,0)))</f>
        <v>120</v>
      </c>
      <c r="AA25" s="444" t="s">
        <v>2679</v>
      </c>
      <c r="AB25" s="445"/>
      <c r="AC25" s="445"/>
      <c r="BB25" s="233" t="n">
        <f aca="false">IF(A25="","",1)</f>
        <v>1</v>
      </c>
    </row>
    <row r="26" customFormat="false" ht="12.75" hidden="false" customHeight="false" outlineLevel="0" collapsed="false">
      <c r="A26" s="446" t="s">
        <v>749</v>
      </c>
      <c r="B26" s="447" t="n">
        <v>2.5</v>
      </c>
      <c r="C26" s="448"/>
      <c r="D26" s="430" t="str">
        <f aca="false">IF(ISERROR(VLOOKUP($A26,'liste reference'!$A$7:$D$904,2,0)),IF(ISERROR(VLOOKUP($A26,'liste reference'!$B$7:$D$904,1,0)),"",VLOOKUP($A26,'liste reference'!$B$7:$D$904,1,0)),VLOOKUP($A26,'liste reference'!$A$7:$D$904,2,0))</f>
        <v>Cinclidotus riparius</v>
      </c>
      <c r="E26" s="449" t="e">
        <f aca="false">IF(D26="",0,VLOOKUP(D26,D$22:D25,1,0))</f>
        <v>#N/A</v>
      </c>
      <c r="F26" s="450" t="n">
        <f aca="false">($B26*$B$7+$C26*$C$7)/100</f>
        <v>1.05</v>
      </c>
      <c r="G26" s="432" t="str">
        <f aca="false">IF(A26="","",IF(ISERROR(VLOOKUP($A26,'liste reference'!$A$7:$P$904,13,0)),IF(ISERROR(VLOOKUP($A26,'liste reference'!$B$7:$P$904,12,0)),"    -",VLOOKUP($A26,'liste reference'!$B$7:$P$904,12,0)),VLOOKUP($A26,'liste reference'!$A$7:$P$904,13,0)))</f>
        <v>BRm</v>
      </c>
      <c r="H26" s="433" t="n">
        <f aca="false">IF(A26="","x",IF(ISERROR(VLOOKUP($A26,'liste reference'!$A$8:$P$904,14,0)),IF(ISERROR(VLOOKUP($A26,'liste reference'!$B$8:$P$904,13,0)),"x",VLOOKUP($A26,'liste reference'!$B$8:$P$904,13,0)),VLOOKUP($A26,'liste reference'!$A$8:$P$904,14,0)))</f>
        <v>5</v>
      </c>
      <c r="I26" s="434" t="n">
        <f aca="false">IF(ISNUMBER(H26),IF(ISERROR(VLOOKUP($A26,'liste reference'!$A$7:$P$904,3,0)),IF(ISERROR(VLOOKUP($A26,'liste reference'!$B$7:$P$904,2,0)),"",VLOOKUP($A26,'liste reference'!$B$7:$P$904,2,0)),VLOOKUP($A26,'liste reference'!$A$7:$P$904,3,0)),"")</f>
        <v>13</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Cinclidotus riparius</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1321</v>
      </c>
      <c r="Q26" s="439" t="n">
        <f aca="false">IF(ISTEXT(H26),"",(B26*$B$7/100)+(C26*$C$7/100))</f>
        <v>1.05</v>
      </c>
      <c r="R26" s="440" t="n">
        <f aca="false">IF(OR(ISTEXT(H26),Q26=0),"",IF(Q26&lt;0.1,1,IF(Q26&lt;1,2,IF(Q26&lt;10,3,IF(Q26&lt;50,4,IF(Q26&gt;=50,5,""))))))</f>
        <v>3</v>
      </c>
      <c r="S26" s="440" t="n">
        <f aca="false">IF(ISERROR(R26*I26),0,R26*I26)</f>
        <v>39</v>
      </c>
      <c r="T26" s="440" t="n">
        <f aca="false">IF(ISERROR(R26*I26*J26),0,R26*I26*J26)</f>
        <v>78</v>
      </c>
      <c r="U26" s="452" t="n">
        <f aca="false">IF(ISERROR(R26*J26),0,R26*J26)</f>
        <v>6</v>
      </c>
      <c r="V26" s="441" t="str">
        <f aca="false">IF(AND(A26="",F26=0),"",IF(F26=0,"Il manque le(s) % de rec. !",""))</f>
        <v/>
      </c>
      <c r="W26" s="442"/>
      <c r="X26" s="442"/>
      <c r="Y26" s="443" t="str">
        <f aca="false">IF(A26="new.cod","NEWCOD",IF(AND((Z26=""),ISTEXT(A26)),A26,IF(Z26="","",INDEX('liste reference'!$A$8:$A$904,Z26))))</f>
        <v>CINRIP</v>
      </c>
      <c r="Z26" s="233" t="n">
        <f aca="false">IF(ISERROR(MATCH(A26,'liste reference'!$A$8:$A$904,0)),IF(ISERROR(MATCH(A26,'liste reference'!$B$8:$B$904,0)),"",(MATCH(A26,'liste reference'!$B$8:$B$904,0))),(MATCH(A26,'liste reference'!$A$8:$A$904,0)))</f>
        <v>174</v>
      </c>
      <c r="AA26" s="444"/>
      <c r="AB26" s="445"/>
      <c r="AC26" s="445"/>
      <c r="BB26" s="233" t="n">
        <f aca="false">IF(A26="","",1)</f>
        <v>1</v>
      </c>
    </row>
    <row r="27" customFormat="false" ht="12.75" hidden="false" customHeight="false" outlineLevel="0" collapsed="false">
      <c r="A27" s="446" t="s">
        <v>852</v>
      </c>
      <c r="B27" s="447" t="n">
        <v>0.15</v>
      </c>
      <c r="C27" s="448"/>
      <c r="D27" s="430" t="str">
        <f aca="false">IF(ISERROR(VLOOKUP($A27,'liste reference'!$A$7:$D$904,2,0)),IF(ISERROR(VLOOKUP($A27,'liste reference'!$B$7:$D$904,1,0)),"",VLOOKUP($A27,'liste reference'!$B$7:$D$904,1,0)),VLOOKUP($A27,'liste reference'!$A$7:$D$904,2,0))</f>
        <v>Fissidens crassipes</v>
      </c>
      <c r="E27" s="449" t="e">
        <f aca="false">IF(D27="",0,VLOOKUP(D27,D$22:D26,1,0))</f>
        <v>#N/A</v>
      </c>
      <c r="F27" s="450" t="n">
        <f aca="false">($B27*$B$7+$C27*$C$7)/100</f>
        <v>0.063</v>
      </c>
      <c r="G27" s="432" t="str">
        <f aca="false">IF(A27="","",IF(ISERROR(VLOOKUP($A27,'liste reference'!$A$7:$P$904,13,0)),IF(ISERROR(VLOOKUP($A27,'liste reference'!$B$7:$P$904,12,0)),"    -",VLOOKUP($A27,'liste reference'!$B$7:$P$904,12,0)),VLOOKUP($A27,'liste reference'!$A$7:$P$904,13,0)))</f>
        <v>BRm</v>
      </c>
      <c r="H27" s="433" t="n">
        <f aca="false">IF(A27="","x",IF(ISERROR(VLOOKUP($A27,'liste reference'!$A$8:$P$904,14,0)),IF(ISERROR(VLOOKUP($A27,'liste reference'!$B$8:$P$904,13,0)),"x",VLOOKUP($A27,'liste reference'!$B$8:$P$904,13,0)),VLOOKUP($A27,'liste reference'!$A$8:$P$904,14,0)))</f>
        <v>5</v>
      </c>
      <c r="I27" s="434" t="n">
        <f aca="false">IF(ISNUMBER(H27),IF(ISERROR(VLOOKUP($A27,'liste reference'!$A$7:$P$904,3,0)),IF(ISERROR(VLOOKUP($A27,'liste reference'!$B$7:$P$904,2,0)),"",VLOOKUP($A27,'liste reference'!$B$7:$P$904,2,0)),VLOOKUP($A27,'liste reference'!$A$7:$P$904,3,0)),"")</f>
        <v>12</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1294</v>
      </c>
      <c r="Q27" s="439" t="n">
        <f aca="false">IF(ISTEXT(H27),"",(B27*$B$7/100)+(C27*$C$7/100))</f>
        <v>0.063</v>
      </c>
      <c r="R27" s="440" t="n">
        <f aca="false">IF(OR(ISTEXT(H27),Q27=0),"",IF(Q27&lt;0.1,1,IF(Q27&lt;1,2,IF(Q27&lt;10,3,IF(Q27&lt;50,4,IF(Q27&gt;=50,5,""))))))</f>
        <v>1</v>
      </c>
      <c r="S27" s="440" t="n">
        <f aca="false">IF(ISERROR(R27*I27),0,R27*I27)</f>
        <v>12</v>
      </c>
      <c r="T27" s="440" t="n">
        <f aca="false">IF(ISERROR(R27*I27*J27),0,R27*I27*J27)</f>
        <v>24</v>
      </c>
      <c r="U27" s="452" t="n">
        <f aca="false">IF(ISERROR(R27*J27),0,R27*J27)</f>
        <v>2</v>
      </c>
      <c r="V27" s="441" t="str">
        <f aca="false">IF(AND(A27="",F27=0),"",IF(F27=0,"Il manque le(s) % de rec. !",""))</f>
        <v/>
      </c>
      <c r="W27" s="453"/>
      <c r="Y27" s="443" t="str">
        <f aca="false">IF(A27="new.cod","NEWCOD",IF(AND((Z27=""),ISTEXT(A27)),A27,IF(Z27="","",INDEX('liste reference'!$A$8:$A$904,Z27))))</f>
        <v>FISCRA</v>
      </c>
      <c r="Z27" s="233" t="n">
        <f aca="false">IF(ISERROR(MATCH(A27,'liste reference'!$A$8:$A$904,0)),IF(ISERROR(MATCH(A27,'liste reference'!$B$8:$B$904,0)),"",(MATCH(A27,'liste reference'!$B$8:$B$904,0))),(MATCH(A27,'liste reference'!$A$8:$A$904,0)))</f>
        <v>197</v>
      </c>
      <c r="AA27" s="444"/>
      <c r="AB27" s="445"/>
      <c r="AC27" s="445"/>
      <c r="BB27" s="233" t="n">
        <f aca="false">IF(A27="","",1)</f>
        <v>1</v>
      </c>
    </row>
    <row r="28" customFormat="false" ht="12.75" hidden="false" customHeight="false" outlineLevel="0" collapsed="false">
      <c r="A28" s="446" t="s">
        <v>1054</v>
      </c>
      <c r="B28" s="447" t="n">
        <v>0.05</v>
      </c>
      <c r="C28" s="448"/>
      <c r="D28" s="430" t="str">
        <f aca="false">IF(ISERROR(VLOOKUP($A28,'liste reference'!$A$7:$D$904,2,0)),IF(ISERROR(VLOOKUP($A28,'liste reference'!$B$7:$D$904,1,0)),"",VLOOKUP($A28,'liste reference'!$B$7:$D$904,1,0)),VLOOKUP($A28,'liste reference'!$A$7:$D$904,2,0))</f>
        <v>Rhynchostegium riparioides</v>
      </c>
      <c r="E28" s="449" t="e">
        <f aca="false">IF(D28="",0,VLOOKUP(D28,D$20:D23,1,0))</f>
        <v>#N/A</v>
      </c>
      <c r="F28" s="450" t="n">
        <f aca="false">($B28*$B$7+$C28*$C$7)/100</f>
        <v>0.021</v>
      </c>
      <c r="G28" s="432" t="str">
        <f aca="false">IF(A28="","",IF(ISERROR(VLOOKUP($A28,'liste reference'!$A$7:$P$904,13,0)),IF(ISERROR(VLOOKUP($A28,'liste reference'!$B$7:$P$904,12,0)),"    -",VLOOKUP($A28,'liste reference'!$B$7:$P$904,12,0)),VLOOKUP($A28,'liste reference'!$A$7:$P$904,13,0)))</f>
        <v>BRm</v>
      </c>
      <c r="H28" s="433" t="n">
        <f aca="false">IF(A28="","x",IF(ISERROR(VLOOKUP($A28,'liste reference'!$A$8:$P$904,14,0)),IF(ISERROR(VLOOKUP($A28,'liste reference'!$B$8:$P$904,13,0)),"x",VLOOKUP($A28,'liste reference'!$B$8:$P$904,13,0)),VLOOKUP($A28,'liste reference'!$A$8:$P$904,14,0)))</f>
        <v>5</v>
      </c>
      <c r="I28" s="434" t="n">
        <f aca="false">IF(ISNUMBER(H28),IF(ISERROR(VLOOKUP($A28,'liste reference'!$A$7:$P$904,3,0)),IF(ISERROR(VLOOKUP($A28,'liste reference'!$B$7:$P$904,2,0)),"",VLOOKUP($A28,'liste reference'!$B$7:$P$904,2,0)),VLOOKUP($A28,'liste reference'!$A$7:$P$904,3,0)),"")</f>
        <v>12</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Rhynchostegium riparioides</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1268</v>
      </c>
      <c r="Q28" s="439" t="n">
        <f aca="false">IF(ISTEXT(H28),"",(B28*$B$7/100)+(C28*$C$7/100))</f>
        <v>0.021</v>
      </c>
      <c r="R28" s="440" t="n">
        <f aca="false">IF(OR(ISTEXT(H28),Q28=0),"",IF(Q28&lt;0.1,1,IF(Q28&lt;1,2,IF(Q28&lt;10,3,IF(Q28&lt;50,4,IF(Q28&gt;=50,5,""))))))</f>
        <v>1</v>
      </c>
      <c r="S28" s="440" t="n">
        <f aca="false">IF(ISERROR(R28*I28),0,R28*I28)</f>
        <v>12</v>
      </c>
      <c r="T28" s="440" t="n">
        <f aca="false">IF(ISERROR(R28*I28*J28),0,R28*I28*J28)</f>
        <v>12</v>
      </c>
      <c r="U28" s="452" t="n">
        <f aca="false">IF(ISERROR(R28*J28),0,R28*J28)</f>
        <v>1</v>
      </c>
      <c r="V28" s="441" t="str">
        <f aca="false">IF(AND(A28="",F28=0),"",IF(F28=0,"Il manque le(s) % de rec. !",""))</f>
        <v/>
      </c>
      <c r="W28" s="442"/>
      <c r="Y28" s="443" t="str">
        <f aca="false">IF(A28="new.cod","NEWCOD",IF(AND((Z28=""),ISTEXT(A28)),A28,IF(Z28="","",INDEX('liste reference'!$A$8:$A$904,Z28))))</f>
        <v>RHYRIP</v>
      </c>
      <c r="Z28" s="233" t="n">
        <f aca="false">IF(ISERROR(MATCH(A28,'liste reference'!$A$8:$A$904,0)),IF(ISERROR(MATCH(A28,'liste reference'!$B$8:$B$904,0)),"",(MATCH(A28,'liste reference'!$B$8:$B$904,0))),(MATCH(A28,'liste reference'!$A$8:$A$904,0)))</f>
        <v>252</v>
      </c>
      <c r="AA28" s="444"/>
      <c r="AB28" s="445"/>
      <c r="AC28" s="445"/>
      <c r="BB28" s="233" t="n">
        <f aca="false">IF(A28="","",1)</f>
        <v>1</v>
      </c>
    </row>
    <row r="29" customFormat="false" ht="12.75" hidden="false" customHeight="false" outlineLevel="0" collapsed="false">
      <c r="A29" s="446" t="s">
        <v>1224</v>
      </c>
      <c r="B29" s="447"/>
      <c r="C29" s="448" t="n">
        <v>0.01</v>
      </c>
      <c r="D29" s="430" t="str">
        <f aca="false">IF(ISERROR(VLOOKUP($A29,'liste reference'!$A$7:$D$904,2,0)),IF(ISERROR(VLOOKUP($A29,'liste reference'!$B$7:$D$904,1,0)),"",VLOOKUP($A29,'liste reference'!$B$7:$D$904,1,0)),VLOOKUP($A29,'liste reference'!$A$7:$D$904,2,0))</f>
        <v>Apium nodiflorum</v>
      </c>
      <c r="E29" s="449" t="e">
        <f aca="false">IF(D29="",0,VLOOKUP(D29,D$22:D28,1,0))</f>
        <v>#N/A</v>
      </c>
      <c r="F29" s="450" t="n">
        <f aca="false">($B29*$B$7+$C29*$C$7)/100</f>
        <v>0.0058</v>
      </c>
      <c r="G29" s="432" t="str">
        <f aca="false">IF(A29="","",IF(ISERROR(VLOOKUP($A29,'liste reference'!$A$7:$P$904,13,0)),IF(ISERROR(VLOOKUP($A29,'liste reference'!$B$7:$P$904,12,0)),"    -",VLOOKUP($A29,'liste reference'!$B$7:$P$904,12,0)),VLOOKUP($A29,'liste reference'!$A$7:$P$904,13,0)))</f>
        <v>PHy</v>
      </c>
      <c r="H29" s="433" t="n">
        <f aca="false">IF(A29="","x",IF(ISERROR(VLOOKUP($A29,'liste reference'!$A$8:$P$904,14,0)),IF(ISERROR(VLOOKUP($A29,'liste reference'!$B$8:$P$904,13,0)),"x",VLOOKUP($A29,'liste reference'!$B$8:$P$904,13,0)),VLOOKUP($A29,'liste reference'!$A$8:$P$904,14,0)))</f>
        <v>7</v>
      </c>
      <c r="I29" s="434" t="n">
        <f aca="false">IF(ISNUMBER(H29),IF(ISERROR(VLOOKUP($A29,'liste reference'!$A$7:$P$904,3,0)),IF(ISERROR(VLOOKUP($A29,'liste reference'!$B$7:$P$904,2,0)),"",VLOOKUP($A29,'liste reference'!$B$7:$P$904,2,0)),VLOOKUP($A29,'liste reference'!$A$7:$P$904,3,0)),"")</f>
        <v>10</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Apium nodiflorum</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1974</v>
      </c>
      <c r="Q29" s="439" t="n">
        <f aca="false">IF(ISTEXT(H29),"",(B29*$B$7/100)+(C29*$C$7/100))</f>
        <v>0.0058</v>
      </c>
      <c r="R29" s="440" t="n">
        <f aca="false">IF(OR(ISTEXT(H29),Q29=0),"",IF(Q29&lt;0.1,1,IF(Q29&lt;1,2,IF(Q29&lt;10,3,IF(Q29&lt;50,4,IF(Q29&gt;=50,5,""))))))</f>
        <v>1</v>
      </c>
      <c r="S29" s="440" t="n">
        <f aca="false">IF(ISERROR(R29*I29),0,R29*I29)</f>
        <v>10</v>
      </c>
      <c r="T29" s="440" t="n">
        <f aca="false">IF(ISERROR(R29*I29*J29),0,R29*I29*J29)</f>
        <v>10</v>
      </c>
      <c r="U29" s="452" t="n">
        <f aca="false">IF(ISERROR(R29*J29),0,R29*J29)</f>
        <v>1</v>
      </c>
      <c r="V29" s="441" t="str">
        <f aca="false">IF(AND(A29="",F29=0),"",IF(F29=0,"Il manque le(s) % de rec. !",""))</f>
        <v/>
      </c>
      <c r="W29" s="442"/>
      <c r="Y29" s="443" t="str">
        <f aca="false">IF(A29="new.cod","NEWCOD",IF(AND((Z29=""),ISTEXT(A29)),A29,IF(Z29="","",INDEX('liste reference'!$A$8:$A$904,Z29))))</f>
        <v>APINOD</v>
      </c>
      <c r="Z29" s="233" t="n">
        <f aca="false">IF(ISERROR(MATCH(A29,'liste reference'!$A$8:$A$904,0)),IF(ISERROR(MATCH(A29,'liste reference'!$B$8:$B$904,0)),"",(MATCH(A29,'liste reference'!$B$8:$B$904,0))),(MATCH(A29,'liste reference'!$A$8:$A$904,0)))</f>
        <v>309</v>
      </c>
      <c r="AA29" s="444"/>
      <c r="AB29" s="445"/>
      <c r="AC29" s="445"/>
      <c r="BB29" s="233" t="n">
        <f aca="false">IF(A29="","",1)</f>
        <v>1</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IF(D30="",0,VLOOKUP(D30,D$18:D26,1,0))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CARAMY</v>
      </c>
      <c r="B84" s="482" t="str">
        <f aca="false">C3</f>
        <v>Vins-sur-Caramy</v>
      </c>
      <c r="C84" s="483" t="n">
        <f aca="false">A4</f>
        <v>41850</v>
      </c>
      <c r="D84" s="484" t="n">
        <f aca="false">IF(ISERROR(SUM($T$23:$T$82)/SUM($U$23:$U$82)),"",SUM($T$23:$T$82)/SUM($U$23:$U$82))</f>
        <v>10.2857142857143</v>
      </c>
      <c r="E84" s="485" t="n">
        <f aca="false">N13</f>
        <v>7</v>
      </c>
      <c r="F84" s="482" t="n">
        <f aca="false">N14</f>
        <v>7</v>
      </c>
      <c r="G84" s="482" t="n">
        <f aca="false">N15</f>
        <v>4</v>
      </c>
      <c r="H84" s="482" t="n">
        <f aca="false">N16</f>
        <v>2</v>
      </c>
      <c r="I84" s="482" t="n">
        <f aca="false">N17</f>
        <v>0</v>
      </c>
      <c r="J84" s="486" t="n">
        <f aca="false">N8</f>
        <v>8.14285714285714</v>
      </c>
      <c r="K84" s="484" t="n">
        <f aca="false">N9</f>
        <v>4.54905237945447</v>
      </c>
      <c r="L84" s="485" t="n">
        <f aca="false">N10</f>
        <v>0</v>
      </c>
      <c r="M84" s="485" t="n">
        <f aca="false">N11</f>
        <v>13</v>
      </c>
      <c r="N84" s="484" t="n">
        <f aca="false">O8</f>
        <v>1.14285714285714</v>
      </c>
      <c r="O84" s="484" t="n">
        <f aca="false">O9</f>
        <v>0.63887656499994</v>
      </c>
      <c r="P84" s="485" t="n">
        <f aca="false">O10</f>
        <v>0</v>
      </c>
      <c r="Q84" s="485" t="n">
        <f aca="false">O11</f>
        <v>2</v>
      </c>
      <c r="R84" s="485" t="n">
        <f aca="false">F21</f>
        <v>2.3338</v>
      </c>
      <c r="S84" s="485" t="n">
        <f aca="false">K11</f>
        <v>0</v>
      </c>
      <c r="T84" s="485" t="n">
        <f aca="false">K12</f>
        <v>2</v>
      </c>
      <c r="U84" s="485" t="n">
        <f aca="false">K13</f>
        <v>4</v>
      </c>
      <c r="V84" s="487" t="n">
        <f aca="false">K14</f>
        <v>0</v>
      </c>
      <c r="W84" s="488" t="n">
        <f aca="false">K15</f>
        <v>1</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39</v>
      </c>
      <c r="T87" s="233"/>
      <c r="U87" s="233"/>
      <c r="V87" s="233"/>
    </row>
    <row r="88" customFormat="false" ht="12.75" hidden="true" customHeight="false" outlineLevel="0" collapsed="false">
      <c r="P88" s="233"/>
      <c r="Q88" s="233" t="s">
        <v>2683</v>
      </c>
      <c r="R88" s="233"/>
      <c r="S88" s="441" t="n">
        <f aca="false">VLOOKUP((S87),($S$23:$U$82),2,0)</f>
        <v>78</v>
      </c>
      <c r="T88" s="233"/>
      <c r="U88" s="233"/>
      <c r="V88" s="233"/>
    </row>
    <row r="89" customFormat="false" ht="12.75" hidden="true" customHeight="false" outlineLevel="0" collapsed="false">
      <c r="Q89" s="233" t="s">
        <v>2684</v>
      </c>
      <c r="R89" s="233"/>
      <c r="S89" s="441" t="n">
        <f aca="false">VLOOKUP((S87),($S$23:$U$82),3,0)</f>
        <v>6</v>
      </c>
      <c r="T89" s="233"/>
    </row>
    <row r="90" customFormat="false" ht="12.75" hidden="false" customHeight="false" outlineLevel="0" collapsed="false">
      <c r="Q90" s="233" t="s">
        <v>2685</v>
      </c>
      <c r="R90" s="233"/>
      <c r="S90" s="491" t="n">
        <f aca="false">IF(ISERROR(SUM($T$23:$T$82)/SUM($U$23:$U$82)),"",(SUM($T$23:$T$82)-S88)/(SUM($U$23:$U$82)-S89))</f>
        <v>8.25</v>
      </c>
      <c r="T90" s="233"/>
    </row>
    <row r="91" customFormat="false" ht="12.75" hidden="false" customHeight="false" outlineLevel="0" collapsed="false">
      <c r="Q91" s="440" t="s">
        <v>2686</v>
      </c>
      <c r="R91" s="440"/>
      <c r="S91" s="440" t="str">
        <f aca="false">INDEX('liste reference'!$A$8:$A$904,$T$91)</f>
        <v>CINRIP</v>
      </c>
      <c r="T91" s="233" t="n">
        <f aca="false">IF(ISERROR(MATCH($S$93,'liste reference'!$A$8:$A$904,0)),MATCH($S$93,'liste reference'!$B$8:$B$904,0),(MATCH($S$93,'liste reference'!$A$8:$A$904,0)))</f>
        <v>174</v>
      </c>
      <c r="U91" s="480"/>
    </row>
    <row r="92" customFormat="false" ht="12.75" hidden="false" customHeight="false" outlineLevel="0" collapsed="false">
      <c r="Q92" s="233" t="s">
        <v>2687</v>
      </c>
      <c r="R92" s="233"/>
      <c r="S92" s="233" t="n">
        <f aca="false">MATCH(S87,$S$23:$S$82,0)</f>
        <v>4</v>
      </c>
      <c r="T92" s="233"/>
    </row>
    <row r="93" customFormat="false" ht="12.75" hidden="false" customHeight="false" outlineLevel="0" collapsed="false">
      <c r="Q93" s="440" t="s">
        <v>2688</v>
      </c>
      <c r="R93" s="233"/>
      <c r="S93" s="440" t="str">
        <f aca="false">INDEX($A$23:$A$82,$S$92)</f>
        <v>CINRIP</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2620</v>
      </c>
      <c r="G21" s="577"/>
      <c r="H21" s="576" t="s">
        <v>2620</v>
      </c>
      <c r="I21" s="578"/>
    </row>
    <row r="22" customFormat="false" ht="15" hidden="false" customHeight="false" outlineLevel="0" collapsed="false">
      <c r="A22" s="565" t="s">
        <v>1726</v>
      </c>
      <c r="B22" s="566" t="s">
        <v>1727</v>
      </c>
      <c r="C22" s="568"/>
      <c r="D22" s="569"/>
      <c r="F22" s="576" t="s">
        <v>2711</v>
      </c>
      <c r="G22" s="577"/>
      <c r="H22" s="576" t="s">
        <v>2711</v>
      </c>
      <c r="I22" s="578"/>
    </row>
    <row r="23" customFormat="false" ht="15" hidden="false" customHeight="false" outlineLevel="0" collapsed="false">
      <c r="A23" s="565" t="s">
        <v>2465</v>
      </c>
      <c r="B23" s="566" t="s">
        <v>2466</v>
      </c>
      <c r="C23" s="568"/>
      <c r="D23" s="569"/>
      <c r="F23" s="576" t="s">
        <v>2712</v>
      </c>
      <c r="G23" s="577"/>
      <c r="H23" s="576" t="s">
        <v>2712</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2015-03-12T13:27:09Z</cp:lastPrinted>
  <dcterms:modified xsi:type="dcterms:W3CDTF">2015-03-30T18:04:36Z</dcterms:modified>
  <cp:revision>0</cp:revision>
  <dc:subject/>
  <dc:title>Feuille d'aide au calcul de l'IBMR</dc:title>
</cp:coreProperties>
</file>