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notice" sheetId="5" state="visible" r:id="rId7"/>
    <sheet name="station" sheetId="6" state="hidden" r:id="rId8"/>
    <sheet name="Issole à ste Anastasie" sheetId="7" state="visible" r:id="rId9"/>
    <sheet name="modele" sheetId="8" state="hidden" r:id="rId10"/>
    <sheet name="liste codes réf" sheetId="9" state="hidden" r:id="rId11"/>
  </sheets>
  <definedNames>
    <definedName function="false" hidden="false" localSheetId="6" name="_xlnm.Print_Area" vbProcedure="false">'Issole à ste Anastasie'!$A$1:$O$82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'Issole à ste Anastasie'!$A$23:$J$84</definedName>
    <definedName function="false" hidden="false" localSheetId="6" name="NOM" vbProcedure="false">'Issole à ste Anastasie'!$H$1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<sst xmlns="http://schemas.openxmlformats.org/spreadsheetml/2006/main" count="7496" uniqueCount="2752">
  <si>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</si>
  <si>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</si>
  <si>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</si>
  <si>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</si>
  <si>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</si>
  <si>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</si>
  <si>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</si>
  <si>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</si>
  <si>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</si>
  <si>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</si>
  <si>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</si>
  <si>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</si>
  <si>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</si>
  <si>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</si>
  <si>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</si>
  <si>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</si>
  <si>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</si>
  <si>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</si>
  <si>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</si>
  <si>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</si>
  <si>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</si>
  <si>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</si>
  <si>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</si>
  <si>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</si>
  <si>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</si>
  <si>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</si>
  <si>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</si>
  <si>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</si>
  <si>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</si>
  <si>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</si>
  <si>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</si>
  <si>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</si>
  <si>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</si>
  <si>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</si>
  <si>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</si>
  <si>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</si>
  <si>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</si>
  <si>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</si>
  <si>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</si>
  <si>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</si>
  <si>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</si>
  <si>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</si>
  <si>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</si>
  <si>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</si>
  <si>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</si>
  <si>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</si>
  <si>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</si>
  <si>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</si>
  <si>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</si>
  <si>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</si>
  <si>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</si>
  <si>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</si>
  <si>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</si>
  <si>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</si>
  <si>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</si>
  <si>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</si>
  <si>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</si>
  <si>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</si>
  <si>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</si>
  <si>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</si>
  <si>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</si>
  <si>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</si>
  <si>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</si>
  <si>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</si>
  <si>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</si>
  <si>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</si>
  <si>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</si>
  <si>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</si>
  <si>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</si>
  <si>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</si>
  <si>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</si>
  <si>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</si>
  <si>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</si>
  <si>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</si>
  <si>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</si>
  <si>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</si>
  <si>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</si>
  <si>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</si>
  <si>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</si>
  <si>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</si>
  <si>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</si>
  <si>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</si>
  <si>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</si>
  <si>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</si>
  <si>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</si>
  <si>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</si>
  <si>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</si>
  <si>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</si>
  <si>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</si>
  <si>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</si>
  <si>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</si>
  <si>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</si>
  <si>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</si>
  <si>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</si>
  <si>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</si>
  <si>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</si>
  <si>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</si>
  <si>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</si>
  <si>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</si>
  <si>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</si>
  <si>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</si>
  <si>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</si>
  <si>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</si>
  <si>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</si>
  <si>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</si>
  <si>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</si>
  <si>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</si>
  <si>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</si>
  <si>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</si>
  <si>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</si>
  <si>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</si>
  <si>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</si>
  <si>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</si>
  <si>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</si>
  <si>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</si>
  <si>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</si>
  <si>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</si>
  <si>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</si>
  <si>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</si>
  <si>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</si>
  <si>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</si>
  <si>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</si>
  <si>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</si>
  <si>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</si>
  <si>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</si>
  <si>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</si>
  <si>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</si>
  <si>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</si>
  <si>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</si>
  <si>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</si>
  <si>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</si>
  <si>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</si>
  <si>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</si>
  <si>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</si>
  <si>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</si>
  <si>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</si>
  <si>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</si>
  <si>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</si>
  <si>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</si>
  <si>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</si>
  <si>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</si>
  <si>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</si>
  <si>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</si>
  <si>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</si>
  <si>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</si>
  <si>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</si>
  <si>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</si>
  <si>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</si>
  <si>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</si>
  <si>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</si>
  <si>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</si>
  <si>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</si>
  <si>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</si>
  <si>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</si>
  <si>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</si>
  <si>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</si>
  <si>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</si>
  <si>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</si>
  <si>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</si>
  <si>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</si>
  <si>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</si>
  <si>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</si>
  <si>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</si>
  <si>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</si>
  <si>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</si>
  <si>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</si>
  <si>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</si>
  <si>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</si>
  <si>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</si>
  <si>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</si>
  <si>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</si>
  <si>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</si>
  <si>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</si>
  <si>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</si>
  <si>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</si>
  <si>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</si>
  <si>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</si>
  <si>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</si>
  <si>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</si>
  <si>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</si>
  <si>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</si>
  <si>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</si>
  <si>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</si>
  <si>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</si>
  <si>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</si>
  <si>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</si>
  <si>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</si>
  <si>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</si>
  <si>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</si>
  <si>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</si>
  <si>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</si>
  <si>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</si>
  <si>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</si>
  <si>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</si>
  <si>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</si>
  <si>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</si>
  <si>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</si>
  <si>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</si>
  <si>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</si>
  <si>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</si>
  <si>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</si>
  <si>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</si>
  <si>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</si>
  <si>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</si>
  <si>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</si>
  <si>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</si>
  <si>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</si>
  <si>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</si>
  <si>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</si>
  <si>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</si>
  <si>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</si>
  <si>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</si>
  <si>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</si>
  <si>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</si>
  <si>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</si>
  <si>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</si>
  <si>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</si>
  <si>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</si>
  <si>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</si>
  <si>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</si>
  <si>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</si>
  <si>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</si>
  <si>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</si>
  <si>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</si>
  <si>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</si>
  <si>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</si>
  <si>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</si>
  <si>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</si>
  <si>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</si>
  <si>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</si>
  <si>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</si>
  <si>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</si>
  <si>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</si>
  <si>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</si>
  <si>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</si>
  <si>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</si>
  <si>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</si>
  <si>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</si>
  <si>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</si>
  <si>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</si>
  <si>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</si>
  <si>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</si>
  <si>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</si>
  <si>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</si>
  <si>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</si>
  <si>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</si>
  <si>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</si>
  <si>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</si>
  <si>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</si>
  <si>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</si>
  <si>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</si>
  <si>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</si>
  <si>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</si>
  <si>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</si>
  <si>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</si>
  <si>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</si>
  <si>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</si>
  <si>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</si>
  <si>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</si>
  <si>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</si>
  <si>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</si>
  <si>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</si>
  <si>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</si>
  <si>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</si>
  <si>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</si>
  <si>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</si>
  <si>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</si>
  <si>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</si>
  <si>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</si>
  <si>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</si>
  <si>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</si>
  <si>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</si>
  <si>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</si>
  <si>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</si>
  <si>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</si>
  <si>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</si>
  <si>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</si>
  <si>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</si>
  <si>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</si>
  <si>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</si>
  <si>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</si>
  <si>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</si>
  <si>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</si>
  <si>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</si>
  <si>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</si>
  <si>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</si>
  <si>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</si>
  <si>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</si>
  <si>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</si>
  <si>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</si>
  <si>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</si>
  <si>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</si>
  <si>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</si>
  <si>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</si>
  <si>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</si>
  <si>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</si>
  <si>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</si>
  <si>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</si>
  <si>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</si>
  <si>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</si>
  <si>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</si>
  <si>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</si>
  <si>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</si>
  <si>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</si>
  <si>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</si>
  <si>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</si>
  <si>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</si>
  <si>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</si>
  <si>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</si>
  <si>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</si>
  <si>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</si>
  <si>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</si>
  <si>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</si>
  <si>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</si>
  <si>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</si>
  <si>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</si>
  <si>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</si>
  <si>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</si>
  <si>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</si>
  <si>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</si>
  <si>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</si>
  <si>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</si>
  <si>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</si>
  <si>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</si>
  <si>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</si>
  <si>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</si>
  <si>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</si>
  <si>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</si>
  <si>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</si>
  <si>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</si>
  <si>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</si>
  <si>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</si>
  <si>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</si>
  <si>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</si>
  <si>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</si>
  <si>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</si>
  <si>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</si>
  <si>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</si>
  <si>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</si>
  <si>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</si>
  <si>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</si>
  <si>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</si>
  <si>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</si>
  <si>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</si>
  <si>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</si>
  <si>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</si>
  <si>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</si>
  <si>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</si>
  <si>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</si>
  <si>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</si>
  <si>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</si>
  <si>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</si>
  <si>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</si>
  <si>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</si>
  <si>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</si>
  <si>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</si>
  <si>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</si>
  <si>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</si>
  <si>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</si>
  <si>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</si>
  <si>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</si>
  <si>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</si>
  <si>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</si>
  <si>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</si>
  <si>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</si>
  <si>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</si>
  <si>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</si>
  <si>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</si>
  <si>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</si>
  <si>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</si>
  <si>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</si>
  <si>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</si>
  <si>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</si>
  <si>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</si>
  <si>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</si>
  <si>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</si>
  <si>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</si>
  <si>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</si>
  <si>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</si>
  <si>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</si>
  <si>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</si>
  <si>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</si>
  <si>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</si>
  <si>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</si>
  <si>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</si>
  <si>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</si>
  <si>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</si>
  <si>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</si>
  <si>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</si>
  <si>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</si>
  <si>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</si>
  <si>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</si>
  <si>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</si>
  <si>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</si>
  <si>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</si>
  <si>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</si>
  <si>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</si>
  <si>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</si>
  <si>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</si>
  <si>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</si>
  <si>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</si>
  <si>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</si>
  <si>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</si>
  <si>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</si>
  <si>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</si>
  <si>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</si>
  <si>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</si>
  <si>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</si>
  <si>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</si>
  <si>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</si>
  <si>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</si>
  <si>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</si>
  <si>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</si>
  <si>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</si>
  <si>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</si>
  <si>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</si>
  <si>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</si>
  <si>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</si>
  <si>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</si>
  <si>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</si>
  <si>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</si>
  <si>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</si>
  <si>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</si>
  <si>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</si>
  <si>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</si>
  <si>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</si>
  <si>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</si>
  <si>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</si>
  <si>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</si>
  <si>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</si>
  <si>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</si>
  <si>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</si>
  <si>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</si>
  <si>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</si>
  <si>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</si>
  <si>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</si>
  <si>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</si>
  <si>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</si>
  <si>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</si>
  <si>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</si>
  <si>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</si>
  <si>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</si>
  <si>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</si>
  <si>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</si>
  <si>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</si>
  <si>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</si>
  <si>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</si>
  <si>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</si>
  <si>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</si>
  <si>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</si>
  <si>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</si>
  <si>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</si>
  <si>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</si>
  <si>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</si>
  <si>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</si>
  <si>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</si>
  <si>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</si>
  <si>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</si>
  <si>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</si>
  <si>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</si>
  <si>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</si>
  <si>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</si>
  <si>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</si>
  <si>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</si>
  <si>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</si>
  <si>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</si>
  <si>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</si>
  <si>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</si>
  <si>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</si>
  <si>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</si>
  <si>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</si>
  <si>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</si>
  <si>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</si>
  <si>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</si>
  <si>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</si>
  <si>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</si>
  <si>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</si>
  <si>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</si>
  <si>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</si>
  <si>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</si>
  <si>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</si>
  <si>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</si>
  <si>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</si>
  <si>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</si>
  <si>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</si>
  <si>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</si>
  <si>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</si>
  <si>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</si>
  <si>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</si>
  <si>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</si>
  <si>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</si>
  <si>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</si>
  <si>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</si>
  <si>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</si>
  <si>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</si>
  <si>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</si>
  <si>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</si>
  <si>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</si>
  <si>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</si>
  <si>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</si>
  <si>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</si>
  <si>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</si>
  <si>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</si>
  <si>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</si>
  <si>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</si>
  <si>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</si>
  <si>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</si>
  <si>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</si>
  <si>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</si>
  <si>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</si>
  <si>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</si>
  <si>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</si>
  <si>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</si>
  <si>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</si>
  <si>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</si>
  <si>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</si>
  <si>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</si>
  <si>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</si>
  <si>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</si>
  <si>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</si>
  <si>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</si>
  <si>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</si>
  <si>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</si>
  <si>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</si>
  <si>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</si>
  <si>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</si>
  <si>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</si>
  <si>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</si>
  <si>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</si>
  <si>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</si>
  <si>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</si>
  <si>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</si>
  <si>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</si>
  <si>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</si>
  <si>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</si>
  <si>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</si>
  <si>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</si>
  <si>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</si>
  <si>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</si>
  <si>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</si>
  <si>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</si>
  <si>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</si>
  <si>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</si>
  <si>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</si>
  <si>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</si>
  <si>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</si>
  <si>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</si>
  <si>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</si>
  <si>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</si>
  <si>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</si>
  <si>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</si>
  <si>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</si>
  <si>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</si>
  <si>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</si>
  <si>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</si>
  <si>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</si>
  <si>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</si>
  <si>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</si>
  <si>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</si>
  <si>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</si>
  <si>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</si>
  <si>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</si>
  <si>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</si>
  <si>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</si>
  <si>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</si>
  <si>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</si>
  <si>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</si>
  <si>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</si>
  <si>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</si>
  <si>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</si>
  <si>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</si>
  <si>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</si>
  <si>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</si>
  <si>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</si>
  <si>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</si>
  <si>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</si>
  <si>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</si>
  <si>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</si>
  <si>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</si>
  <si>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</si>
  <si>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</si>
  <si>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</si>
  <si>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</si>
  <si>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</si>
  <si>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</si>
  <si>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</si>
  <si>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</si>
  <si>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</si>
  <si>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</si>
  <si>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</si>
  <si>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</si>
  <si>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</si>
  <si>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</si>
  <si>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</si>
  <si>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</si>
  <si>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</si>
  <si>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</si>
  <si>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</si>
  <si>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</si>
  <si>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</si>
  <si>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</si>
  <si>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</si>
  <si>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</si>
  <si>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</si>
  <si>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</si>
  <si>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</si>
  <si>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</si>
  <si>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</si>
  <si>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</si>
  <si>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</si>
  <si>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</si>
  <si>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</si>
  <si>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</si>
  <si>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</si>
  <si>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</si>
  <si>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</si>
  <si>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</si>
  <si>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</si>
  <si>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</si>
  <si>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</si>
  <si>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</si>
  <si>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</si>
  <si>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</si>
  <si>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</si>
  <si>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</si>
  <si>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</si>
  <si>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</si>
  <si>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</si>
  <si>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</si>
  <si>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</si>
  <si>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</si>
  <si>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</si>
  <si>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</si>
  <si>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</si>
  <si>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</si>
  <si>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</si>
  <si>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</si>
  <si>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</si>
  <si>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</si>
  <si>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</si>
  <si>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</si>
  <si>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</si>
  <si>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</si>
  <si>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</si>
  <si>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</si>
  <si>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</si>
  <si>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</si>
  <si>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</si>
  <si>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</si>
  <si>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</si>
  <si>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</si>
  <si>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</si>
  <si>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</si>
  <si>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</si>
  <si>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</si>
  <si>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</si>
  <si>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</si>
  <si>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</si>
  <si>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</si>
  <si>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</si>
  <si>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</si>
  <si>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</si>
  <si>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</si>
  <si>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</si>
  <si>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</si>
  <si>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</si>
  <si>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</si>
  <si>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</si>
  <si>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</si>
  <si>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</si>
  <si>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</si>
  <si>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</si>
  <si>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</si>
  <si>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</si>
  <si>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</si>
  <si>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</si>
  <si>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</si>
  <si>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</si>
  <si>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</si>
  <si>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</si>
  <si>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</si>
  <si>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</si>
  <si>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</si>
  <si>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</si>
  <si>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</si>
  <si>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</si>
  <si>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</si>
  <si>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</si>
  <si>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</si>
  <si>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</si>
  <si>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</si>
  <si>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</si>
  <si>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</si>
  <si>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</si>
  <si>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</si>
  <si>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</si>
  <si>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</si>
  <si>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</si>
  <si>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</si>
  <si>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</si>
  <si>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</si>
  <si>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</si>
  <si>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</si>
  <si>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</si>
  <si>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</si>
  <si>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</si>
  <si>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</si>
  <si>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</si>
  <si>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</si>
  <si>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</si>
  <si>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</si>
  <si>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</si>
  <si>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</si>
  <si>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</si>
  <si>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</si>
  <si>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</si>
  <si>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</si>
  <si>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</si>
  <si>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</si>
  <si>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</si>
  <si>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</si>
  <si>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</si>
  <si>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</si>
  <si>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</si>
  <si>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</si>
  <si>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</si>
  <si>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</si>
  <si>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</si>
  <si>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</si>
  <si>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</si>
  <si>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</si>
  <si>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</si>
  <si>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</si>
  <si>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</si>
  <si>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</si>
  <si>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</si>
  <si>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</si>
  <si>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</si>
  <si>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</si>
  <si>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</si>
  <si>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</si>
  <si>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</si>
  <si>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</si>
  <si>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</si>
  <si>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</si>
  <si>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</si>
  <si>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</si>
  <si>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</si>
  <si>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</si>
  <si>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</si>
  <si>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</si>
  <si>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</si>
  <si>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</si>
  <si>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</si>
  <si>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</si>
  <si>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</si>
  <si>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</si>
  <si>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</si>
  <si>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</si>
  <si>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</si>
  <si>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</si>
  <si>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</si>
  <si>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</si>
  <si>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</si>
  <si>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</si>
  <si>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</si>
  <si>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</si>
  <si>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</si>
  <si>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</si>
  <si>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</si>
  <si>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</si>
  <si>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</si>
  <si>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</si>
  <si>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</si>
  <si>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</si>
  <si>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</si>
  <si>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</si>
  <si>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</si>
  <si>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</si>
  <si>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</si>
  <si>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</si>
  <si>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</si>
  <si>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</si>
  <si>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</si>
  <si>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</si>
  <si>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</si>
  <si>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</si>
  <si>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</si>
  <si>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</si>
  <si>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</si>
  <si>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</si>
  <si>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</si>
  <si>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</si>
  <si>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</si>
  <si>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</si>
  <si>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</si>
  <si>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</si>
  <si>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</si>
  <si>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</si>
  <si>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</si>
  <si>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</si>
  <si>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</si>
  <si>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</si>
  <si>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</si>
  <si>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</si>
  <si>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</si>
  <si>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</si>
  <si>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</si>
  <si>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</si>
  <si>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</si>
  <si>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</si>
  <si>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</si>
  <si>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</si>
  <si>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</si>
  <si>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</si>
  <si>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</si>
  <si>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</si>
  <si>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</si>
  <si>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</si>
  <si>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</si>
  <si>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</si>
  <si>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</si>
  <si>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</si>
  <si>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</si>
  <si>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</si>
  <si>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</si>
  <si>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</si>
  <si>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</si>
  <si>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</si>
  <si>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</si>
  <si>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</si>
  <si>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</si>
  <si>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</si>
  <si>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</si>
  <si>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</si>
  <si>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</si>
  <si>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</si>
  <si>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</si>
  <si>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</si>
  <si>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</si>
  <si>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</si>
  <si>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</si>
  <si>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</si>
  <si>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</si>
  <si>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</si>
  <si>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</si>
  <si>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</si>
  <si>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</si>
  <si>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</si>
  <si>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</si>
  <si>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</si>
  <si>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</si>
  <si>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</si>
  <si>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</si>
  <si>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</si>
  <si>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</si>
  <si>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</si>
  <si>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</si>
  <si>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</si>
  <si>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</si>
  <si>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</si>
  <si>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</si>
  <si>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</si>
  <si>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</si>
  <si>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</si>
  <si>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</si>
  <si>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</si>
  <si>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</si>
  <si>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</si>
  <si>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</si>
  <si>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</si>
  <si>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</si>
  <si>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</si>
  <si>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</si>
  <si>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</si>
  <si>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</si>
  <si>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</si>
  <si>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</si>
  <si>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</si>
  <si>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</si>
  <si>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</si>
  <si>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</si>
  <si>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</si>
  <si>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</si>
  <si>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</si>
  <si>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</si>
  <si>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</si>
  <si>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</si>
  <si>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</si>
  <si>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</si>
  <si>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</si>
  <si>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</si>
  <si>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</si>
  <si>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</si>
  <si>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</si>
  <si>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</si>
  <si>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</si>
  <si>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</si>
  <si>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</si>
  <si>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</si>
  <si>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</si>
  <si>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</si>
  <si>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</si>
  <si>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</si>
  <si>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</si>
  <si>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</si>
  <si>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</si>
  <si>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</si>
  <si>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</si>
  <si>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</si>
  <si>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</si>
  <si>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</si>
  <si>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</si>
  <si>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</si>
  <si>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</si>
  <si>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</si>
  <si>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</si>
  <si>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</si>
  <si>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</si>
  <si>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</si>
  <si>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</si>
  <si>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</si>
  <si>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</si>
  <si>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</si>
  <si>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</si>
  <si>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</si>
  <si>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</si>
  <si>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</si>
  <si>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</si>
  <si>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</si>
  <si>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</si>
  <si>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</si>
  <si>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</si>
  <si>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</si>
  <si>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</si>
  <si>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</si>
  <si>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</si>
  <si>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</si>
  <si>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</si>
  <si>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</si>
  <si>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</si>
  <si>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</si>
  <si>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</si>
  <si>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</si>
  <si>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</si>
  <si>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</si>
  <si>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</si>
  <si>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</si>
  <si>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</si>
  <si>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</si>
  <si>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</si>
  <si>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</si>
  <si>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</si>
  <si>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</si>
  <si>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</si>
  <si>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</si>
  <si>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</si>
  <si>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</si>
  <si>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</si>
  <si>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</si>
  <si>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</si>
  <si>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</si>
  <si>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</si>
  <si>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</si>
  <si>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</si>
  <si>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</si>
  <si>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</si>
  <si>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</si>
  <si>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</si>
  <si>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</si>
  <si>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</si>
  <si>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</si>
  <si>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</si>
  <si>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</si>
  <si>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</si>
  <si>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</si>
  <si>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</si>
  <si>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</si>
  <si>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</si>
  <si>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</si>
  <si>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</si>
  <si>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</si>
  <si>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</si>
  <si>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</si>
  <si>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</si>
  <si>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</si>
  <si>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</si>
  <si>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</si>
  <si>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</si>
  <si>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</si>
  <si>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</si>
  <si>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</si>
  <si>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</si>
  <si>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</si>
  <si>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</si>
  <si>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</si>
  <si>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</si>
  <si>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</si>
  <si>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</si>
  <si>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</si>
  <si>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</si>
  <si>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</si>
  <si>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</si>
  <si>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</si>
  <si>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</si>
  <si>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</si>
  <si>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</si>
  <si>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</si>
  <si>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</si>
  <si>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</si>
  <si>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</si>
  <si>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</si>
  <si>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</si>
  <si>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</si>
  <si>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</si>
  <si>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</si>
  <si>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</si>
  <si>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</si>
  <si>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</si>
  <si>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</si>
  <si>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</si>
  <si>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</si>
  <si>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</si>
  <si>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</si>
  <si>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</si>
  <si>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</si>
  <si>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</si>
  <si>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</si>
  <si>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</si>
  <si>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</si>
  <si>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</si>
  <si>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</si>
  <si>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</si>
  <si>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</si>
  <si>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</si>
  <si>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</si>
  <si>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</si>
  <si>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</si>
  <si>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</si>
  <si>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</si>
  <si>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</si>
  <si>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</si>
  <si>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</si>
  <si>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</si>
  <si>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</si>
  <si>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</si>
  <si>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</si>
  <si>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</si>
  <si>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</si>
  <si>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</si>
  <si>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</si>
  <si>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</si>
  <si>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</si>
  <si>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</si>
  <si>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</si>
  <si>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</si>
  <si>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</si>
  <si>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</si>
  <si>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</si>
  <si>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</si>
  <si>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</si>
  <si>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</si>
  <si>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</si>
  <si>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</si>
  <si>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</si>
  <si>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</si>
  <si>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</si>
  <si>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</si>
  <si>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</si>
  <si>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</si>
  <si>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</si>
  <si>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</si>
  <si>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</si>
  <si>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</si>
  <si>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</si>
  <si>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</si>
  <si>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</si>
  <si>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</si>
  <si>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</si>
  <si>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</si>
  <si>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</si>
  <si>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</si>
  <si>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</si>
  <si>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</si>
  <si>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</si>
  <si>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</si>
  <si>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</si>
  <si>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</si>
  <si>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</si>
  <si>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</si>
  <si>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</si>
  <si>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</si>
  <si>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</si>
  <si>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</si>
  <si>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</si>
  <si>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</si>
  <si>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</si>
  <si>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</si>
  <si>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</si>
  <si>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</si>
  <si>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</si>
  <si>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</si>
  <si>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</si>
  <si>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</si>
  <si>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</si>
  <si>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</si>
  <si>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</si>
  <si>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</si>
  <si>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</si>
  <si>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</si>
  <si>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</si>
  <si>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</si>
  <si>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</si>
  <si>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</si>
  <si>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</si>
  <si>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</si>
  <si>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</si>
  <si>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</si>
  <si>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</si>
  <si>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</si>
  <si>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</si>
  <si>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</si>
  <si>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</si>
  <si>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</si>
  <si>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</si>
  <si>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</si>
  <si>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</si>
  <si>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</si>
  <si>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</si>
  <si>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</si>
  <si>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</si>
  <si>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</si>
  <si>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</si>
  <si>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</si>
  <si>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</si>
  <si>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</si>
  <si>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</si>
  <si>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</si>
  <si>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</si>
  <si>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</si>
  <si>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</si>
  <si>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</si>
  <si>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</si>
  <si>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</si>
  <si>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</si>
  <si>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</si>
  <si>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</si>
  <si>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</si>
  <si>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</si>
  <si>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</si>
  <si>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</si>
  <si>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</si>
  <si>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</si>
  <si>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</si>
  <si>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</si>
  <si>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</si>
  <si>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</si>
  <si>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</si>
  <si>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</si>
  <si>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</si>
  <si>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</si>
  <si>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</si>
  <si>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</si>
  <si>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</si>
  <si>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</si>
  <si>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</si>
  <si>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</si>
  <si>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</si>
  <si>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</si>
  <si>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</si>
  <si>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</si>
  <si>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</si>
  <si>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</si>
  <si>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</si>
  <si>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</si>
  <si>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</si>
  <si>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</si>
  <si>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</si>
  <si>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</si>
  <si>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</si>
  <si>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</si>
  <si>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</si>
  <si>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</si>
  <si>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</si>
  <si>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</si>
  <si>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</si>
  <si>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</si>
  <si>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</si>
  <si>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</si>
  <si>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</si>
  <si>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</si>
  <si>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</si>
  <si>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</si>
  <si>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</si>
  <si>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</si>
  <si>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</si>
  <si>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</si>
  <si>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</si>
  <si>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</si>
  <si>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</si>
  <si>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</si>
  <si>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</si>
  <si>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</si>
  <si>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</si>
  <si>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</si>
  <si>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</si>
  <si>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</si>
  <si>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</si>
  <si>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</si>
  <si>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</si>
  <si>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</si>
  <si>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</si>
  <si>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</si>
  <si>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</si>
  <si>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</si>
  <si>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</si>
  <si>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</si>
  <si>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</si>
  <si>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</si>
  <si>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</si>
  <si>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</si>
  <si>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</si>
  <si>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</si>
  <si>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</si>
  <si>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</si>
  <si>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</si>
  <si>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</si>
  <si>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</si>
  <si>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</si>
  <si>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</si>
  <si>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</si>
  <si>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</si>
  <si>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</si>
  <si>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</si>
  <si>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</si>
  <si>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</si>
  <si>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</si>
  <si>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</si>
  <si>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</si>
  <si>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</si>
  <si>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</si>
  <si>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</si>
  <si>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</si>
  <si>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</si>
  <si>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</si>
  <si>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</si>
  <si>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</si>
  <si>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</si>
  <si>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</si>
  <si>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</si>
  <si>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</si>
  <si>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</si>
  <si>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</si>
  <si>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</si>
  <si>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</si>
  <si>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</si>
  <si>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</si>
  <si>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</si>
  <si>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</si>
  <si>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</si>
  <si>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</si>
  <si>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</si>
  <si>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</si>
  <si>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</si>
  <si>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</si>
  <si>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</si>
  <si>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</si>
  <si>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</si>
  <si>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</si>
  <si>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</si>
  <si>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</si>
  <si>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</si>
  <si>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</si>
  <si>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</si>
  <si>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</si>
  <si>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</si>
  <si>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</si>
  <si>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</si>
  <si>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</si>
  <si>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</si>
  <si>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</si>
  <si>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</si>
  <si>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</si>
  <si>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</si>
  <si>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</si>
  <si>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</si>
  <si>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</si>
  <si>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</si>
  <si>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</si>
  <si>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</si>
  <si>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</si>
  <si>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</si>
  <si>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</si>
  <si>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</si>
  <si>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</si>
  <si>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</si>
  <si>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</si>
  <si>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</si>
  <si>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</si>
  <si>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</si>
  <si>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</si>
  <si>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</si>
  <si>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</si>
  <si>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</si>
  <si>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</si>
  <si>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</si>
  <si>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</si>
  <si>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</si>
  <si>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</si>
  <si>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</si>
  <si>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</si>
  <si>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</si>
  <si>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</si>
  <si>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</si>
  <si>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</si>
  <si>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</si>
  <si>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</si>
  <si>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</si>
  <si>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</si>
  <si>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</si>
  <si>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</si>
  <si>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</si>
  <si>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</si>
  <si>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</si>
  <si>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</si>
  <si>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</si>
  <si>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</si>
  <si>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</si>
  <si>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</si>
  <si>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</si>
  <si>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</si>
  <si>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</si>
  <si>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</si>
  <si>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</si>
  <si>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</si>
  <si>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</si>
  <si>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</si>
  <si>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</si>
  <si>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</si>
  <si>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</si>
  <si>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</si>
  <si>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</si>
  <si>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</si>
  <si>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</si>
  <si>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</si>
  <si>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</si>
  <si>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</si>
  <si>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</si>
  <si>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</si>
  <si>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</si>
  <si>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</si>
  <si>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</si>
  <si>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</si>
  <si>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</si>
  <si>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</si>
  <si>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</si>
  <si>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</si>
  <si>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</si>
  <si>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</si>
  <si>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</si>
  <si>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</si>
  <si>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</si>
  <si>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</si>
  <si>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</si>
  <si>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</si>
  <si>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</si>
  <si>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</si>
  <si>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</si>
  <si>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</si>
  <si>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</si>
  <si>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</si>
  <si>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</si>
  <si>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</si>
  <si>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</si>
  <si>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</si>
  <si>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</si>
  <si>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</si>
  <si>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</si>
  <si>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</si>
  <si>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</si>
  <si>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</si>
  <si>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</si>
  <si>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</si>
  <si>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</si>
  <si>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</si>
  <si>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</si>
  <si>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</si>
  <si>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</si>
  <si>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</si>
  <si>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</si>
  <si>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</si>
  <si>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</si>
  <si>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</si>
  <si>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</si>
  <si>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</si>
  <si>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</si>
  <si>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</si>
  <si>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</si>
  <si>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</si>
  <si>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</si>
  <si>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</si>
  <si>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</si>
  <si>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</si>
  <si>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</si>
  <si>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</si>
  <si>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</si>
  <si>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</si>
  <si>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</si>
  <si>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</si>
  <si>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</si>
  <si>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</si>
  <si>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</si>
  <si>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</si>
  <si>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</si>
  <si>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</si>
  <si>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</si>
  <si>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</si>
  <si>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</si>
  <si>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</si>
  <si>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</si>
  <si>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</si>
  <si>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</si>
  <si>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</si>
  <si>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</si>
  <si>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</si>
  <si>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</si>
  <si>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</si>
  <si>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</si>
  <si>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</si>
  <si>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</si>
  <si>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</si>
  <si>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</si>
  <si>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</si>
  <si>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</si>
  <si>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</si>
  <si>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</si>
  <si>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</si>
  <si>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</si>
  <si>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</si>
  <si>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</si>
  <si>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</si>
  <si>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</si>
  <si>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</si>
  <si>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</si>
  <si>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</si>
  <si>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</si>
  <si>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</si>
  <si>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</si>
  <si>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</si>
  <si>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</si>
  <si>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</si>
  <si>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</si>
  <si>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</si>
  <si>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</si>
  <si>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</si>
  <si>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</si>
  <si>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</si>
  <si>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</si>
  <si>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</si>
  <si>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</si>
  <si>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</si>
  <si>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</si>
  <si>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</si>
  <si>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</si>
  <si>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</si>
  <si>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</si>
  <si>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</si>
  <si>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</si>
  <si>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</si>
  <si>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</si>
  <si>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</si>
  <si>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</si>
  <si>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</si>
  <si>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</si>
  <si>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</si>
  <si>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</si>
  <si>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</si>
  <si>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</si>
  <si>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</si>
  <si>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</si>
  <si>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</si>
  <si>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</si>
  <si>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</si>
  <si>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</si>
  <si>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</si>
  <si>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</si>
  <si>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</si>
  <si>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</si>
  <si>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</si>
  <si>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</si>
  <si>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</si>
  <si>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</si>
  <si>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</si>
  <si>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</si>
  <si>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</si>
  <si>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</si>
  <si>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</si>
  <si>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</si>
  <si>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</si>
  <si>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</si>
  <si>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</si>
  <si>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</si>
  <si>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</si>
  <si>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</si>
  <si>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</si>
  <si>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</si>
  <si>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</si>
  <si>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</si>
  <si>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</si>
  <si>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</si>
  <si>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</si>
  <si>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</si>
  <si>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</si>
  <si>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</si>
  <si>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</si>
  <si>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</si>
  <si>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</si>
  <si>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</si>
  <si>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</si>
  <si>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</si>
  <si>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</si>
  <si>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</si>
  <si>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</si>
  <si>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</si>
  <si>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</si>
  <si>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</si>
  <si>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</si>
  <si>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</si>
  <si>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</si>
  <si>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</si>
  <si>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</si>
  <si>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</si>
  <si>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</si>
  <si>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</si>
  <si>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</si>
  <si>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</si>
  <si>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</si>
  <si>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</si>
  <si>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</si>
  <si>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</si>
  <si>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</si>
  <si>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</si>
  <si>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</si>
  <si>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</si>
  <si>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</si>
  <si>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</si>
  <si>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</si>
  <si>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</si>
  <si>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</si>
  <si>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</si>
  <si>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</si>
  <si>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</si>
  <si>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</si>
  <si>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</si>
  <si>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</si>
  <si>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</si>
  <si>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</si>
  <si>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</si>
  <si>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</si>
  <si>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</si>
  <si>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</si>
  <si>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</si>
  <si>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</si>
  <si>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</si>
  <si>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</si>
  <si>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</si>
  <si>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</si>
  <si>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</si>
  <si>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</si>
  <si>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</si>
  <si>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</si>
  <si>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</si>
  <si>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</si>
  <si>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</si>
  <si>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</si>
  <si>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</si>
  <si>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</si>
  <si>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</si>
  <si>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</si>
  <si>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</si>
  <si>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</si>
  <si>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</si>
  <si>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</si>
  <si>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</si>
  <si>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</si>
  <si>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</si>
  <si>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</si>
  <si>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</si>
  <si>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</si>
  <si>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</si>
  <si>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</si>
  <si>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</si>
  <si>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</si>
  <si>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</si>
  <si>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</si>
  <si>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</si>
  <si>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</si>
  <si>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</si>
  <si>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</si>
  <si>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</si>
  <si>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</si>
  <si>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</si>
  <si>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</si>
  <si>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</si>
  <si>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</si>
  <si>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</si>
  <si>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</si>
  <si>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</si>
  <si>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</si>
  <si>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</si>
  <si>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</si>
  <si>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</si>
  <si>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</si>
  <si>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</si>
  <si>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</si>
  <si>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</si>
  <si>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</si>
  <si>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</si>
  <si>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</si>
  <si>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</si>
  <si>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</si>
  <si>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</si>
  <si>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</si>
  <si>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</si>
  <si>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</si>
  <si>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</si>
  <si>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</si>
  <si>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</si>
  <si>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</si>
  <si>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</si>
  <si>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</si>
  <si>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</si>
  <si>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</si>
  <si>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</si>
  <si>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</si>
  <si>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</si>
  <si>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</si>
  <si>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</si>
  <si>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</si>
  <si>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</si>
  <si>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</si>
  <si>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</si>
  <si>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</si>
  <si>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</si>
  <si>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</si>
  <si>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</si>
  <si>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</si>
  <si>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</si>
  <si>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</si>
  <si>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</si>
  <si>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</si>
  <si>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</si>
  <si>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</si>
  <si>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</si>
  <si>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</si>
  <si>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</si>
  <si>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</si>
  <si>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</si>
  <si>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</si>
  <si>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</si>
  <si>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</si>
  <si>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</si>
  <si>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</si>
  <si>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</si>
  <si>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</si>
  <si>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</si>
  <si>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</si>
  <si>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</si>
  <si>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</si>
  <si>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</si>
  <si>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</si>
  <si>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</si>
  <si>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</si>
  <si>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</si>
  <si>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</si>
  <si>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</si>
  <si>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</si>
  <si>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</si>
  <si>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</si>
  <si>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</si>
  <si>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</si>
  <si>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</si>
  <si>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</si>
  <si>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</si>
  <si>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</si>
  <si>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</si>
  <si>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</si>
  <si>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</si>
  <si>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</si>
  <si>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</si>
  <si>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</si>
  <si>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</si>
  <si>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</si>
  <si>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</si>
  <si>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</si>
  <si>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</si>
  <si>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</si>
  <si>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</si>
  <si>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</si>
  <si>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</si>
  <si>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</si>
  <si>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</si>
  <si>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</si>
  <si>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</si>
  <si>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</si>
  <si>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</si>
  <si>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</si>
  <si>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</si>
  <si>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</si>
  <si>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</si>
  <si>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</si>
  <si>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</si>
  <si>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</si>
  <si>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</si>
  <si>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</si>
  <si>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</si>
  <si>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</si>
  <si>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</si>
  <si>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</si>
  <si>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</si>
  <si>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</si>
  <si>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</si>
  <si>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</si>
  <si>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</si>
  <si>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</si>
  <si>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</si>
  <si>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</si>
  <si>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</si>
  <si>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</si>
  <si>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</si>
  <si>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</si>
  <si>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</si>
  <si>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</si>
  <si>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</si>
  <si>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</si>
  <si>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</si>
  <si>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</si>
  <si>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</si>
  <si>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</si>
  <si>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</si>
  <si>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</si>
  <si>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</si>
  <si>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</si>
  <si>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</si>
  <si>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</si>
  <si>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</si>
  <si>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</si>
  <si>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</si>
  <si>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</si>
  <si>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</si>
  <si>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</si>
  <si>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</si>
  <si>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</si>
  <si>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</si>
  <si>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</si>
  <si>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</si>
  <si>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</si>
  <si>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</si>
  <si>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</si>
  <si>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</si>
  <si>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</si>
  <si>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</si>
  <si>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</si>
  <si>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</si>
  <si>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</si>
  <si>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</si>
  <si>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</si>
  <si>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</si>
  <si>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</si>
  <si>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</si>
  <si>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</si>
  <si>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</si>
  <si>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</si>
  <si>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</si>
  <si>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</si>
  <si>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</si>
  <si>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</si>
  <si>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</si>
  <si>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</si>
  <si>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</si>
  <si>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</si>
  <si>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</si>
  <si>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</si>
  <si>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</si>
  <si>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</si>
  <si>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</si>
  <si>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</si>
  <si>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</si>
  <si>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</si>
  <si>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</si>
  <si>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</si>
  <si>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</si>
  <si>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</si>
  <si>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</si>
  <si>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</si>
  <si>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</si>
  <si>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</si>
  <si>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</si>
  <si>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</si>
  <si>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</si>
  <si>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</si>
  <si>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</si>
  <si>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</si>
  <si>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</si>
  <si>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</si>
  <si>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</si>
  <si>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</si>
  <si>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</si>
  <si>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</si>
  <si>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</si>
  <si>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</si>
  <si>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</si>
  <si>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</si>
  <si>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</si>
  <si>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</si>
  <si>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</si>
  <si>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</si>
  <si>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</si>
  <si>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</si>
  <si>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</si>
  <si>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</si>
  <si>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</si>
  <si>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</si>
  <si>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</si>
  <si>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</si>
  <si>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</si>
  <si>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</si>
  <si>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</si>
  <si>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</si>
  <si>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</si>
  <si>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</si>
  <si>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</si>
  <si>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</si>
  <si>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</si>
  <si>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</si>
  <si>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</si>
  <si>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</si>
  <si>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</si>
  <si>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</si>
  <si>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</si>
  <si>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</si>
  <si>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</si>
  <si>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</si>
  <si>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</si>
  <si>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</si>
  <si>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</si>
  <si>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</si>
  <si>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</si>
  <si>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</si>
  <si>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</si>
  <si>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</si>
  <si>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</si>
  <si>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</si>
  <si>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</si>
  <si>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</si>
  <si>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</si>
  <si>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</si>
  <si>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</si>
  <si>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</si>
  <si>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</si>
  <si>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</si>
  <si>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</si>
  <si>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</si>
  <si>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</si>
  <si>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</si>
  <si>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</si>
  <si>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</si>
  <si>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</si>
  <si>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</si>
  <si>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</si>
  <si>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</si>
  <si>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</si>
  <si>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</si>
  <si>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</si>
  <si>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</si>
  <si>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</si>
  <si>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</si>
  <si>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</si>
  <si>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</si>
  <si>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</si>
  <si>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</si>
  <si>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</si>
  <si>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</si>
  <si>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</si>
  <si>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</si>
  <si>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</si>
  <si>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</si>
  <si>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</si>
  <si>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</si>
  <si>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</si>
  <si>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</si>
  <si>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</si>
  <si>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</si>
  <si>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</si>
  <si>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</si>
  <si>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</si>
  <si>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</si>
  <si>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</si>
  <si>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</si>
  <si>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</si>
  <si>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</si>
  <si>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</si>
  <si>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</si>
  <si>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</si>
  <si>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</si>
  <si>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</si>
  <si>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</si>
  <si>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</si>
  <si>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</si>
  <si>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</si>
  <si>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</si>
  <si>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</si>
  <si>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</si>
  <si>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</si>
  <si>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</si>
  <si>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</si>
  <si>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</si>
  <si>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</si>
  <si>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</si>
  <si>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</si>
  <si>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</si>
  <si>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</si>
  <si>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</si>
  <si>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</si>
  <si>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</si>
  <si>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</si>
  <si>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</si>
  <si>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</si>
  <si>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</si>
  <si>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</si>
  <si>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</si>
  <si>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</si>
  <si>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</si>
  <si>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</si>
  <si>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</si>
  <si>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</si>
  <si>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</si>
  <si>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</si>
  <si>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</si>
  <si>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</si>
  <si>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</si>
  <si>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</si>
  <si>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</si>
  <si>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</si>
  <si>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</si>
  <si>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</si>
  <si>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</si>
  <si>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</si>
  <si>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</si>
  <si>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</si>
  <si>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</si>
  <si>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</si>
  <si>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</si>
  <si>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</si>
  <si>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</si>
  <si>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</si>
  <si>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</si>
  <si>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</si>
  <si>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</si>
  <si>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</si>
  <si>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</si>
  <si>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</si>
  <si>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</si>
  <si>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</si>
  <si>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</si>
  <si>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</si>
  <si>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</si>
  <si>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</si>
  <si>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</si>
  <si>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</si>
  <si>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</si>
  <si>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</si>
  <si>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</si>
  <si>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</si>
  <si>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</si>
  <si>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</si>
  <si>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</si>
  <si>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</si>
  <si>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</si>
  <si>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</si>
  <si>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</si>
  <si>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</si>
  <si>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</si>
  <si>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</si>
  <si>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</si>
  <si>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</si>
  <si>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</si>
  <si>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</si>
  <si>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</si>
  <si>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</si>
  <si>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</si>
  <si>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</si>
  <si>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</si>
  <si>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</si>
  <si>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</si>
  <si>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</si>
  <si>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</si>
  <si>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</si>
  <si>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</si>
  <si>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</si>
  <si>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</si>
  <si>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</si>
  <si>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</si>
  <si>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</si>
  <si>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</si>
  <si>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</si>
  <si>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</si>
  <si>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</si>
  <si>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</si>
  <si>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</si>
  <si>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</si>
  <si>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</si>
  <si>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</si>
  <si>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</si>
  <si>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</si>
  <si>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</si>
  <si>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</si>
  <si>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</si>
  <si>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</si>
  <si>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</si>
  <si>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</si>
  <si>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</si>
  <si>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</si>
  <si>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</si>
  <si>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</si>
  <si>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</si>
  <si>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</si>
  <si>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</si>
  <si>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</si>
  <si>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</si>
  <si>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</si>
  <si>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</si>
  <si>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</si>
  <si>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</si>
  <si>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</si>
  <si>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</si>
  <si>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</si>
  <si>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</si>
  <si>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</si>
  <si>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</si>
  <si>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</si>
  <si>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</si>
  <si>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</si>
  <si>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</si>
  <si>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</si>
  <si>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</si>
  <si>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</si>
  <si>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</si>
  <si>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</si>
  <si>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</si>
  <si>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</si>
  <si>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</si>
  <si>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</si>
  <si>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</si>
  <si>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</si>
  <si>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</si>
  <si>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</si>
  <si>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</si>
  <si>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</si>
  <si>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</si>
  <si>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</si>
  <si>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</si>
  <si>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</si>
  <si>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</si>
  <si>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</si>
  <si>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</si>
  <si>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</si>
  <si>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</si>
  <si>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</si>
  <si>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</si>
  <si>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</si>
  <si>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</si>
  <si>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</si>
  <si>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</si>
  <si>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</si>
  <si>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</si>
  <si>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</si>
  <si>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</si>
  <si>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</si>
  <si>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</si>
  <si>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</si>
  <si>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</si>
  <si>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</si>
  <si>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</si>
  <si>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</si>
  <si>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</si>
  <si>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</si>
  <si>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</si>
  <si>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</si>
  <si>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</si>
  <si>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</si>
  <si>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</si>
  <si>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</si>
  <si>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</si>
  <si>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</si>
  <si>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</si>
  <si>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</si>
  <si>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</si>
  <si>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</si>
  <si>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</si>
  <si>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</si>
  <si>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</si>
  <si>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</si>
  <si>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</si>
  <si>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</si>
  <si>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</si>
  <si>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</si>
  <si>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</si>
  <si>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</si>
  <si>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</si>
  <si>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</si>
  <si>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</si>
  <si>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</si>
  <si>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</si>
  <si>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</si>
  <si>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</si>
  <si>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</si>
  <si>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</si>
  <si>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</si>
  <si>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</si>
  <si>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</si>
  <si>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</si>
  <si>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</si>
  <si>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</si>
  <si>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</si>
  <si>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</si>
  <si>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</si>
  <si>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</si>
  <si>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</si>
  <si>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</si>
  <si>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</si>
  <si>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</si>
  <si>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</si>
  <si>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</si>
  <si>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</si>
  <si>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</si>
  <si>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</si>
  <si>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</si>
  <si>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</si>
  <si>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</si>
  <si>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</si>
  <si>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</si>
  <si>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</si>
  <si>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</si>
  <si>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</si>
  <si>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</si>
  <si>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</si>
  <si>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</si>
  <si>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</si>
  <si>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</si>
  <si>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</si>
  <si>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</si>
  <si>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</si>
  <si>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</si>
  <si>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</si>
  <si>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</si>
  <si>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</si>
  <si>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</si>
  <si>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</si>
  <si>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</si>
  <si>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</si>
  <si>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</si>
  <si>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</si>
  <si>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</si>
  <si>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</si>
  <si>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</si>
  <si>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</si>
  <si>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</si>
  <si>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</si>
  <si>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</si>
  <si>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</si>
  <si>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</si>
  <si>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</si>
  <si>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</si>
  <si>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</si>
  <si>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</si>
  <si>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</si>
  <si>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</si>
  <si>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</si>
  <si>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</si>
  <si>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</si>
  <si>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</si>
  <si>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</si>
  <si>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</si>
  <si>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</si>
  <si>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</si>
  <si>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</si>
  <si>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</si>
  <si>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</si>
  <si>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</si>
  <si>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</si>
  <si>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</si>
  <si>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</si>
  <si>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</si>
  <si>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</si>
  <si>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</si>
  <si>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</si>
  <si>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</si>
  <si>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</si>
  <si>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</si>
  <si>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</si>
  <si>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</si>
  <si>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</si>
  <si>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</si>
  <si>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</si>
  <si>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</si>
  <si>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</si>
  <si>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</si>
  <si>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</si>
  <si>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</si>
  <si>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</si>
  <si>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</si>
  <si>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</si>
  <si>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</si>
  <si>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</si>
  <si>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</si>
  <si>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</si>
  <si>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</si>
  <si>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</si>
  <si>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</si>
  <si>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</si>
  <si>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</si>
  <si>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</si>
  <si>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</si>
  <si>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</si>
  <si>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</si>
  <si>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</si>
  <si>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</si>
  <si>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</si>
  <si>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</si>
  <si>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</si>
  <si>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</si>
  <si>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</si>
  <si>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</si>
  <si>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</si>
  <si>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</si>
  <si>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</si>
  <si>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</si>
  <si>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</si>
  <si>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</si>
  <si>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</si>
  <si>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</si>
  <si>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</si>
  <si>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</si>
  <si>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</si>
  <si>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</si>
  <si>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</si>
  <si>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</si>
  <si>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</si>
  <si>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</si>
  <si>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</si>
  <si>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</si>
  <si>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</si>
  <si>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</si>
  <si>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</si>
  <si>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</si>
  <si>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</si>
  <si>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</si>
  <si>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</si>
  <si>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</si>
  <si>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</si>
  <si>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</si>
  <si>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</si>
  <si>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</si>
  <si>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</si>
  <si>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</si>
  <si>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</si>
  <si>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</si>
  <si>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</si>
  <si>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</si>
  <si>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</si>
  <si>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</si>
  <si>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</si>
  <si>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</si>
  <si>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</si>
  <si>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</si>
  <si>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</si>
  <si>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</si>
  <si>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</si>
  <si>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</si>
  <si>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</si>
  <si>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</si>
  <si>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</si>
  <si>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</si>
  <si>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</si>
  <si>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</si>
  <si>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</si>
  <si>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</si>
  <si>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</si>
  <si>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</si>
  <si>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</si>
  <si>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</si>
  <si>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</si>
  <si>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</si>
  <si>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</si>
  <si>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</si>
  <si>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</si>
  <si>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</si>
  <si>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</si>
  <si>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</si>
  <si>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</si>
  <si>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</si>
  <si>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</si>
  <si>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</si>
  <si>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</si>
  <si>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</si>
  <si>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</si>
  <si>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</si>
  <si>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</si>
  <si>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</si>
  <si>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</si>
  <si>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</si>
  <si>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</si>
  <si>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</si>
  <si>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</si>
  <si>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</si>
  <si>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</si>
  <si>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</si>
  <si>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</si>
  <si>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</si>
  <si>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</si>
  <si>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</si>
  <si>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</si>
  <si>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</si>
  <si>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</si>
  <si>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</si>
  <si>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</si>
  <si>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</si>
  <si>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</si>
  <si>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</si>
  <si>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</si>
  <si>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</si>
  <si>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</si>
  <si>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</si>
  <si>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</si>
  <si>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</si>
  <si>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</si>
  <si>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</si>
  <si>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</si>
  <si>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</si>
  <si>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</si>
  <si>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</si>
  <si>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</si>
  <si>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</si>
  <si>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</si>
  <si>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</si>
  <si>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</si>
  <si>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</si>
  <si>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</si>
  <si>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</si>
  <si>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</si>
  <si>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</si>
  <si>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</si>
  <si>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</si>
  <si>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</si>
  <si>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</si>
  <si>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</si>
  <si>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</si>
  <si>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</si>
  <si>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</si>
  <si>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</si>
  <si>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</si>
  <si>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</si>
  <si>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</si>
  <si>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</si>
  <si>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</si>
  <si>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</si>
  <si>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</si>
  <si>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</si>
  <si>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</si>
  <si>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</si>
  <si>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</si>
  <si>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</si>
  <si>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</si>
  <si>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</si>
  <si>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</si>
  <si>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</si>
  <si>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</si>
  <si>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</si>
  <si>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</si>
  <si>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</si>
  <si>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</si>
  <si>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</si>
  <si>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</si>
  <si>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</si>
  <si>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</si>
  <si>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</si>
  <si>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</si>
  <si>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</si>
  <si>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</si>
  <si>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</si>
  <si>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</si>
  <si>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</si>
  <si>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</si>
  <si>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</si>
  <si>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</si>
  <si>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</si>
  <si>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</si>
  <si>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</si>
  <si>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</si>
  <si>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</si>
  <si>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</si>
  <si>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</si>
  <si>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</si>
  <si>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</si>
  <si>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</si>
  <si>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</si>
  <si>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</si>
  <si>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</si>
  <si>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</si>
  <si>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</si>
  <si>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</si>
  <si>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</si>
  <si>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</si>
  <si>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</si>
  <si>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</si>
  <si>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</si>
  <si>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</si>
  <si>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</si>
  <si>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</si>
  <si>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</si>
  <si>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</si>
  <si>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</si>
  <si>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</si>
  <si>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</si>
  <si>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</si>
  <si>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</si>
  <si>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</si>
  <si>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</si>
  <si>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</si>
  <si>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</si>
  <si>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</si>
  <si>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</si>
  <si>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</si>
  <si>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</si>
  <si>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</si>
  <si>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</si>
  <si>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</si>
  <si>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</si>
  <si>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</si>
  <si>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</si>
  <si>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</si>
  <si>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</si>
  <si>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</si>
  <si>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</si>
  <si>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</si>
  <si>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</si>
  <si>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</si>
  <si>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</si>
  <si>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</si>
  <si>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</si>
  <si>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</si>
  <si>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</si>
  <si>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</si>
  <si>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</si>
  <si>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</si>
  <si>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</si>
  <si>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</si>
  <si>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</si>
  <si>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</si>
  <si>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</si>
  <si>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</si>
  <si>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</si>
  <si>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</si>
  <si>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</si>
  <si>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</si>
  <si>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</si>
  <si>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</si>
  <si>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</si>
  <si>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</si>
  <si>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</si>
  <si>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</si>
  <si>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</si>
  <si>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</si>
  <si>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</si>
  <si>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</si>
  <si>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</si>
  <si>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</si>
  <si>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</si>
  <si>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</si>
  <si>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</si>
  <si>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</si>
  <si>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</si>
  <si>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</si>
  <si>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</si>
  <si>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</si>
  <si>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</si>
  <si>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</si>
  <si>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</si>
  <si>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</si>
  <si>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</si>
  <si>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</si>
  <si>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</si>
  <si>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</si>
  <si>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</si>
  <si>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</si>
  <si>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</si>
  <si>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</si>
  <si>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</si>
  <si>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</si>
  <si>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</si>
  <si>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</si>
  <si>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</si>
  <si>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</si>
  <si>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</si>
  <si>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</si>
  <si>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</si>
  <si>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</si>
  <si>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</si>
  <si>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</si>
  <si>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</si>
  <si>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</si>
  <si>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</si>
  <si>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</si>
  <si>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</si>
  <si>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</si>
  <si>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</si>
  <si>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</si>
  <si>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</si>
  <si>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</si>
  <si>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</si>
  <si>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</si>
  <si>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</si>
  <si>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</si>
  <si>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</si>
  <si>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</si>
  <si>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</si>
  <si>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</si>
  <si>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</si>
  <si>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</si>
  <si>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</si>
  <si>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</si>
  <si>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</si>
  <si>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</si>
  <si>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</si>
  <si>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</si>
  <si>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</si>
  <si>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</si>
  <si>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</si>
  <si>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</si>
  <si>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</si>
  <si>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</si>
  <si>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</si>
  <si>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</si>
  <si>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</si>
  <si>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</si>
  <si>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</si>
  <si>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</si>
  <si>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</si>
  <si>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</si>
  <si>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</si>
  <si>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</si>
  <si>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</si>
  <si>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</si>
  <si>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</si>
  <si>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</si>
  <si>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</si>
  <si>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</si>
  <si>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</si>
  <si>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</si>
  <si>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</si>
  <si>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</si>
  <si>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</si>
  <si>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</si>
  <si>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</si>
  <si>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</si>
  <si>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</si>
  <si>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</si>
  <si>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</si>
  <si>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</si>
  <si>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</si>
  <si>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</si>
  <si>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</si>
  <si>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</si>
  <si>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</si>
  <si>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</si>
  <si>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</si>
  <si>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</si>
  <si>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</si>
  <si>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</si>
  <si>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</si>
  <si>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</si>
  <si>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</si>
  <si>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</si>
  <si>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</si>
  <si>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</si>
  <si>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</si>
  <si>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</si>
  <si>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</si>
  <si>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</si>
  <si>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</si>
  <si>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</si>
  <si>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</si>
  <si>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</si>
  <si>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</si>
  <si>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</si>
  <si>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</si>
  <si>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</si>
  <si>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</si>
  <si>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</si>
  <si>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</si>
  <si>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</si>
  <si>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</si>
  <si>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</si>
  <si>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</si>
  <si>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</si>
  <si>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</si>
  <si>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</si>
  <si>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</si>
  <si>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</si>
  <si>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</si>
  <si>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</si>
  <si>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</si>
  <si>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</si>
  <si>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</si>
  <si>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</si>
  <si>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</si>
  <si>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</si>
  <si>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</si>
  <si>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</si>
  <si>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</si>
  <si>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</si>
  <si>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</si>
  <si>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</si>
  <si>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</si>
  <si>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</si>
  <si>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</si>
  <si>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</si>
  <si>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</si>
  <si>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</si>
  <si>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</si>
  <si>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</si>
  <si>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</si>
  <si>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</si>
  <si>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</si>
  <si>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</si>
  <si>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</si>
  <si>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</si>
  <si>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</si>
  <si>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</si>
  <si>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</si>
  <si>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</si>
  <si>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</si>
  <si>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</si>
  <si>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</si>
  <si>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</si>
  <si>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</si>
  <si>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</si>
  <si>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</si>
  <si>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</si>
  <si>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</si>
  <si>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</si>
  <si>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</si>
  <si>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</si>
  <si>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</si>
  <si>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</si>
  <si>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</si>
  <si>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</si>
  <si>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</si>
  <si>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</si>
  <si>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</si>
  <si>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</si>
  <si>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</si>
  <si>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</si>
  <si>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</si>
  <si>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</si>
  <si>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</si>
  <si>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</si>
  <si>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</si>
  <si>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</si>
  <si>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</si>
  <si>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</si>
  <si>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</si>
  <si>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</si>
  <si>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</si>
  <si>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</si>
  <si>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</si>
  <si>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</si>
  <si>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</si>
  <si>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</si>
  <si>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</si>
  <si>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</si>
  <si>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</si>
  <si>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</si>
  <si>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</si>
  <si>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</si>
  <si>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</si>
  <si>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</si>
  <si>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</si>
  <si>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</si>
  <si>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</si>
  <si>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</si>
  <si>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</si>
  <si>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</si>
  <si>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</si>
  <si>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</si>
  <si>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</si>
  <si>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</si>
  <si>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</si>
  <si>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</si>
  <si>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</si>
  <si>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</si>
  <si>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</si>
  <si>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</si>
  <si>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</si>
  <si>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</si>
  <si>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</si>
  <si>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</si>
  <si>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</si>
  <si>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Issole</t>
  </si>
  <si>
    <t xml:space="preserve">Ste Anastasie sur Issole</t>
  </si>
  <si>
    <t xml:space="preserve">06204550</t>
  </si>
  <si>
    <t xml:space="preserve">RCS PACA</t>
  </si>
  <si>
    <t xml:space="preserve">Robustesse:</t>
  </si>
  <si>
    <t xml:space="preserve">pl. courant</t>
  </si>
  <si>
    <t xml:space="preserve">pl. lent</t>
  </si>
  <si>
    <t xml:space="preserve">moyen</t>
  </si>
  <si>
    <t xml:space="preserve">(fort)</t>
  </si>
  <si>
    <t xml:space="preserve">périphyton</t>
  </si>
  <si>
    <t xml:space="preserve"> rec. par taxa (26,9315 %) supérieur à 20 % !</t>
  </si>
  <si>
    <t xml:space="preserve">Cf.</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</si>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</sst>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29" borderId="65" xfId="0" applyFont="true" applyBorder="true" applyAlignment="true" applyProtection="true">
      <alignment horizontal="left" vertical="top" textRotation="0" wrapText="false" indent="0" shrinkToFit="false"/>
      <protection locked="true" hidden="true"/>
    </xf>
    <xf numFmtId="172" fontId="44" fillId="29"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64" fontId="116" fillId="29" borderId="69" xfId="0" applyFont="true" applyBorder="true" applyAlignment="true" applyProtection="true">
      <alignment horizontal="left" vertical="bottom" textRotation="0" wrapText="false" indent="0" shrinkToFit="false"/>
      <protection locked="true" hidden="true"/>
    </xf>
    <xf numFmtId="164" fontId="43" fillId="29"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16"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X15" activeCellId="0" sqref="X15"/>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41080</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10.4857142857143</v>
      </c>
      <c r="M5" s="543"/>
      <c r="N5" s="544"/>
      <c r="O5" s="545" t="n">
        <v>9.96551724137931</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46</v>
      </c>
      <c r="C7" s="342" t="n">
        <v>54</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8.83333333333333</v>
      </c>
      <c r="O8" s="358" t="n">
        <f aca="false">AVERAGE(J23:J82)</f>
        <v>1.58333333333333</v>
      </c>
      <c r="P8" s="359"/>
      <c r="Q8" s="284"/>
      <c r="R8" s="284"/>
      <c r="S8" s="284"/>
      <c r="T8" s="284"/>
      <c r="U8" s="284"/>
      <c r="V8" s="284"/>
      <c r="W8" s="296"/>
      <c r="X8" s="297"/>
    </row>
    <row r="9" customFormat="false" ht="13.5" hidden="false" customHeight="false" outlineLevel="0" collapsed="false">
      <c r="A9" s="317" t="s">
        <v>2649</v>
      </c>
      <c r="B9" s="360" t="n">
        <v>41.66</v>
      </c>
      <c r="C9" s="361" t="n">
        <v>14.39</v>
      </c>
      <c r="D9" s="362"/>
      <c r="E9" s="362"/>
      <c r="F9" s="363" t="n">
        <f aca="false">($B9*$B$7+$C9*$C$7)/100</f>
        <v>26.9342</v>
      </c>
      <c r="G9" s="364"/>
      <c r="H9" s="365"/>
      <c r="I9" s="366"/>
      <c r="J9" s="367"/>
      <c r="K9" s="348"/>
      <c r="L9" s="368"/>
      <c r="M9" s="357" t="s">
        <v>2650</v>
      </c>
      <c r="N9" s="358" t="n">
        <f aca="false">STDEV(I23:I82)</f>
        <v>5.47445860060125</v>
      </c>
      <c r="O9" s="358" t="n">
        <f aca="false">STDEV(J23:J82)</f>
        <v>0.792961461098759</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15</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5</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7</v>
      </c>
      <c r="L13" s="390"/>
      <c r="M13" s="401" t="s">
        <v>2661</v>
      </c>
      <c r="N13" s="402" t="n">
        <f aca="false">COUNTIF(F23:F82,"&gt;0")</f>
        <v>12</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12</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4</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6</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1</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41.66</v>
      </c>
      <c r="C20" s="440" t="n">
        <f aca="false">SUM(C23:C82)</f>
        <v>14.385</v>
      </c>
      <c r="D20" s="441"/>
      <c r="E20" s="442" t="s">
        <v>2673</v>
      </c>
      <c r="F20" s="443" t="n">
        <f aca="false">($B20*$B$7+$C20*$C$7)/100</f>
        <v>26.9315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19.1636</v>
      </c>
      <c r="C21" s="453" t="n">
        <f aca="false">C20*C7/100</f>
        <v>7.7679</v>
      </c>
      <c r="D21" s="385" t="str">
        <f aca="false">IF(F21=0,"",IF((ABS(F21-F19))&gt;(0.2*F21),CONCATENATE(" rec. par taxa (",F21," %) supérieur à 20 % !"),""))</f>
        <v> rec. par taxa (26,9315 %) supérieur à 20 % !</v>
      </c>
      <c r="E21" s="454" t="str">
        <f aca="false">IF(F21=0,"",IF((ABS(F21-F19))&gt;(0.2*F21),CONCATENATE("ATTENTION : écart entre rec. par grp (",F19," %) ","et",""),""))</f>
        <v>ATTENTION : écart entre rec. par grp (0 %) et</v>
      </c>
      <c r="F21" s="455" t="n">
        <f aca="false">B21+C21</f>
        <v>26.9315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25</v>
      </c>
      <c r="C23" s="500" t="n">
        <v>1</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12.04</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12.04</v>
      </c>
      <c r="R23" s="492" t="n">
        <f aca="false">IF(OR(ISTEXT(H23),Q23=0),"",IF(Q23&lt;0.1,1,IF(Q23&lt;1,2,IF(Q23&lt;10,3,IF(Q23&lt;50,4,IF(Q23&gt;=50,5,""))))))</f>
        <v>4</v>
      </c>
      <c r="S23" s="492" t="n">
        <f aca="false">IF(ISERROR(R23*I23),0,R23*I23)</f>
        <v>24</v>
      </c>
      <c r="T23" s="492" t="n">
        <f aca="false">IF(ISERROR(R23*I23*J23),0,R23*I23*J23)</f>
        <v>24</v>
      </c>
      <c r="U23" s="492" t="n">
        <f aca="false">IF(ISERROR(R23*J23),0,R23*J23)</f>
        <v>4</v>
      </c>
      <c r="V23" s="493" t="n">
        <v>4</v>
      </c>
      <c r="W23" s="494"/>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143</v>
      </c>
      <c r="B24" s="499" t="n">
        <v>0.2</v>
      </c>
      <c r="C24" s="500" t="n">
        <v>0.03</v>
      </c>
      <c r="D24" s="501" t="str">
        <f aca="false">IF(ISERROR(VLOOKUP($A24,'liste reference'!$A$7:$D$904,2,0)),IF(ISERROR(VLOOKUP($A24,'liste reference'!$B$7:$D$904,1,0)),"",VLOOKUP($A24,'liste reference'!$B$7:$D$904,1,0)),VLOOKUP($A24,'liste reference'!$A$7:$D$904,2,0))</f>
        <v>Hildenbrandia sp.</v>
      </c>
      <c r="E24" s="501" t="e">
        <f aca="false">IF(D24="",0,VLOOKUP(D24,D$22:D23,1,0))</f>
        <v>#N/A</v>
      </c>
      <c r="F24" s="508" t="n">
        <f aca="false">($B24*$B$7+$C24*$C$7)/100</f>
        <v>0.1082</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15</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Hildenbrandia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1157</v>
      </c>
      <c r="Q24" s="491" t="n">
        <f aca="false">IF(ISTEXT(H24),"",(B24*$B$7/100)+(C24*$C$7/100))</f>
        <v>0.1082</v>
      </c>
      <c r="R24" s="492" t="n">
        <f aca="false">IF(OR(ISTEXT(H24),Q24=0),"",IF(Q24&lt;0.1,1,IF(Q24&lt;1,2,IF(Q24&lt;10,3,IF(Q24&lt;50,4,IF(Q24&gt;=50,5,""))))))</f>
        <v>2</v>
      </c>
      <c r="S24" s="492" t="n">
        <f aca="false">IF(ISERROR(R24*I24),0,R24*I24)</f>
        <v>30</v>
      </c>
      <c r="T24" s="492" t="n">
        <f aca="false">IF(ISERROR(R24*I24*J24),0,R24*I24*J24)</f>
        <v>60</v>
      </c>
      <c r="U24" s="506" t="n">
        <f aca="false">IF(ISERROR(R24*J24),0,R24*J24)</f>
        <v>4</v>
      </c>
      <c r="V24" s="493" t="n">
        <v>4</v>
      </c>
      <c r="W24" s="494"/>
      <c r="Y24" s="495" t="str">
        <f aca="false">IF(A24="new.cod","NEWCOD",IF(AND((Z24=""),ISTEXT(A24)),A24,IF(Z24="","",INDEX('liste reference'!$A$7:$A$904,Z24))))</f>
        <v>HILSPX</v>
      </c>
      <c r="Z24" s="284" t="n">
        <f aca="false">IF(ISERROR(MATCH(A24,'liste reference'!$A$7:$A$904,0)),IF(ISERROR(MATCH(A24,'liste reference'!$B$7:$B$904,0)),"",(MATCH(A24,'liste reference'!$B$7:$B$904,0))),(MATCH(A24,'liste reference'!$A$7:$A$904,0)))</f>
        <v>31</v>
      </c>
      <c r="AA24" s="496"/>
      <c r="AB24" s="497"/>
      <c r="AC24" s="497"/>
      <c r="BC24" s="284" t="n">
        <f aca="false">IF(A24="","",1)</f>
        <v>1</v>
      </c>
    </row>
    <row r="25" customFormat="false" ht="12.75" hidden="false" customHeight="false" outlineLevel="0" collapsed="false">
      <c r="A25" s="498" t="s">
        <v>161</v>
      </c>
      <c r="B25" s="499" t="n">
        <v>0.1</v>
      </c>
      <c r="C25" s="500" t="n">
        <v>5</v>
      </c>
      <c r="D25" s="501" t="str">
        <f aca="false">IF(ISERROR(VLOOKUP($A25,'liste reference'!$A$7:$D$904,2,0)),IF(ISERROR(VLOOKUP($A25,'liste reference'!$B$7:$D$904,1,0)),"",VLOOKUP($A25,'liste reference'!$B$7:$D$904,1,0)),VLOOKUP($A25,'liste reference'!$A$7:$D$904,2,0))</f>
        <v>Melosira sp.</v>
      </c>
      <c r="E25" s="501" t="e">
        <f aca="false">IF(D25="",0,VLOOKUP(D25,D$22:D24,1,0))</f>
        <v>#N/A</v>
      </c>
      <c r="F25" s="508" t="n">
        <f aca="false">($B25*$B$7+$C25*$C$7)/100</f>
        <v>2.746</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10</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8714</v>
      </c>
      <c r="Q25" s="491" t="n">
        <f aca="false">IF(ISTEXT(H25),"",(B25*$B$7/100)+(C25*$C$7/100))</f>
        <v>2.746</v>
      </c>
      <c r="R25" s="492" t="n">
        <f aca="false">IF(OR(ISTEXT(H25),Q25=0),"",IF(Q25&lt;0.1,1,IF(Q25&lt;1,2,IF(Q25&lt;10,3,IF(Q25&lt;50,4,IF(Q25&gt;=50,5,""))))))</f>
        <v>3</v>
      </c>
      <c r="S25" s="492" t="n">
        <f aca="false">IF(ISERROR(R25*I25),0,R25*I25)</f>
        <v>30</v>
      </c>
      <c r="T25" s="492" t="n">
        <f aca="false">IF(ISERROR(R25*I25*J25),0,R25*I25*J25)</f>
        <v>30</v>
      </c>
      <c r="U25" s="506" t="n">
        <f aca="false">IF(ISERROR(R25*J25),0,R25*J25)</f>
        <v>3</v>
      </c>
      <c r="V25" s="493" t="n">
        <v>3</v>
      </c>
      <c r="W25" s="494"/>
      <c r="Y25" s="495" t="str">
        <f aca="false">IF(A25="new.cod","NEWCOD",IF(AND((Z25=""),ISTEXT(A25)),A25,IF(Z25="","",INDEX('liste reference'!$A$7:$A$904,Z25))))</f>
        <v>MELSPX</v>
      </c>
      <c r="Z25" s="284" t="n">
        <f aca="false">IF(ISERROR(MATCH(A25,'liste reference'!$A$7:$A$904,0)),IF(ISERROR(MATCH(A25,'liste reference'!$B$7:$B$904,0)),"",(MATCH(A25,'liste reference'!$B$7:$B$904,0))),(MATCH(A25,'liste reference'!$A$7:$A$904,0)))</f>
        <v>37</v>
      </c>
      <c r="AA25" s="496"/>
      <c r="AB25" s="497"/>
      <c r="AC25" s="497"/>
      <c r="BC25" s="284" t="n">
        <f aca="false">IF(A25="","",1)</f>
        <v>1</v>
      </c>
    </row>
    <row r="26" customFormat="false" ht="12.75" hidden="false" customHeight="false" outlineLevel="0" collapsed="false">
      <c r="A26" s="498" t="s">
        <v>268</v>
      </c>
      <c r="B26" s="499"/>
      <c r="C26" s="500" t="n">
        <v>0.005</v>
      </c>
      <c r="D26" s="501" t="str">
        <f aca="false">IF(ISERROR(VLOOKUP($A26,'liste reference'!$A$7:$D$904,2,0)),IF(ISERROR(VLOOKUP($A26,'liste reference'!$B$7:$D$904,1,0)),"",VLOOKUP($A26,'liste reference'!$B$7:$D$904,1,0)),VLOOKUP($A26,'liste reference'!$A$7:$D$904,2,0))</f>
        <v>Stigeoclonium tenue</v>
      </c>
      <c r="E26" s="501" t="e">
        <f aca="false">IF(D26="",0,VLOOKUP(D26,D$22:D25,1,0))</f>
        <v>#N/A</v>
      </c>
      <c r="F26" s="508" t="n">
        <f aca="false">($B26*$B$7+$C26*$C$7)/100</f>
        <v>0.0027</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1</v>
      </c>
      <c r="J26" s="486" t="n">
        <f aca="false">IF(ISNUMBER(H26),IF(ISERROR(VLOOKUP($A26,'liste reference'!$A$7:$P$904,4,0)),IF(ISERROR(VLOOKUP($A26,'liste reference'!$B$7:$P$904,3,0)),"",VLOOKUP($A26,'liste reference'!$B$7:$P$904,3,0)),VLOOKUP($A26,'liste reference'!$A$7:$P$904,4,0)),"")</f>
        <v>3</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Stigeoclonium tenue</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5583</v>
      </c>
      <c r="Q26" s="491" t="n">
        <f aca="false">IF(ISTEXT(H26),"",(B26*$B$7/100)+(C26*$C$7/100))</f>
        <v>0.0027</v>
      </c>
      <c r="R26" s="492" t="n">
        <f aca="false">IF(OR(ISTEXT(H26),Q26=0),"",IF(Q26&lt;0.1,1,IF(Q26&lt;1,2,IF(Q26&lt;10,3,IF(Q26&lt;50,4,IF(Q26&gt;=50,5,""))))))</f>
        <v>1</v>
      </c>
      <c r="S26" s="492" t="n">
        <f aca="false">IF(ISERROR(R26*I26),0,R26*I26)</f>
        <v>1</v>
      </c>
      <c r="T26" s="492" t="n">
        <f aca="false">IF(ISERROR(R26*I26*J26),0,R26*I26*J26)</f>
        <v>3</v>
      </c>
      <c r="U26" s="506" t="n">
        <f aca="false">IF(ISERROR(R26*J26),0,R26*J26)</f>
        <v>3</v>
      </c>
      <c r="V26" s="493" t="n">
        <v>3</v>
      </c>
      <c r="W26" s="494"/>
      <c r="Y26" s="495" t="str">
        <f aca="false">IF(A26="new.cod","NEWCOD",IF(AND((Z26=""),ISTEXT(A26)),A26,IF(Z26="","",INDEX('liste reference'!$A$7:$A$904,Z26))))</f>
        <v>STITEN</v>
      </c>
      <c r="Z26" s="284" t="n">
        <f aca="false">IF(ISERROR(MATCH(A26,'liste reference'!$A$7:$A$904,0)),IF(ISERROR(MATCH(A26,'liste reference'!$B$7:$B$904,0)),"",(MATCH(A26,'liste reference'!$B$7:$B$904,0))),(MATCH(A26,'liste reference'!$A$7:$A$904,0)))</f>
        <v>73</v>
      </c>
      <c r="AA26" s="496"/>
      <c r="AB26" s="497"/>
      <c r="AC26" s="497"/>
      <c r="BC26" s="284" t="n">
        <f aca="false">IF(A26="","",1)</f>
        <v>1</v>
      </c>
    </row>
    <row r="27" customFormat="false" ht="12.75" hidden="false" customHeight="false" outlineLevel="0" collapsed="false">
      <c r="A27" s="498" t="s">
        <v>302</v>
      </c>
      <c r="B27" s="499" t="n">
        <v>0.1</v>
      </c>
      <c r="C27" s="500" t="n">
        <v>0.3</v>
      </c>
      <c r="D27" s="501" t="str">
        <f aca="false">IF(ISERROR(VLOOKUP($A27,'liste reference'!$A$7:$D$904,2,0)),IF(ISERROR(VLOOKUP($A27,'liste reference'!$B$7:$D$904,1,0)),"",VLOOKUP($A27,'liste reference'!$B$7:$D$904,1,0)),VLOOKUP($A27,'liste reference'!$A$7:$D$904,2,0))</f>
        <v>Vaucheria sp.</v>
      </c>
      <c r="E27" s="501" t="e">
        <f aca="false">IF(D27="",0,VLOOKUP(D27,D$22:D26,1,0))</f>
        <v>#N/A</v>
      </c>
      <c r="F27" s="508" t="n">
        <f aca="false">($B27*$B$7+$C27*$C$7)/100</f>
        <v>0.208</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4</v>
      </c>
      <c r="J27" s="486" t="n">
        <f aca="false">IF(ISNUMBER(H27),IF(ISERROR(VLOOKUP($A27,'liste reference'!$A$7:$P$904,4,0)),IF(ISERROR(VLOOKUP($A27,'liste reference'!$B$7:$P$904,3,0)),"",VLOOKUP($A27,'liste reference'!$B$7:$P$904,3,0)),VLOOKUP($A27,'liste reference'!$A$7:$P$904,4,0)),"")</f>
        <v>1</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6193</v>
      </c>
      <c r="Q27" s="491" t="n">
        <f aca="false">IF(ISTEXT(H27),"",(B27*$B$7/100)+(C27*$C$7/100))</f>
        <v>0.208</v>
      </c>
      <c r="R27" s="492" t="n">
        <f aca="false">IF(OR(ISTEXT(H27),Q27=0),"",IF(Q27&lt;0.1,1,IF(Q27&lt;1,2,IF(Q27&lt;10,3,IF(Q27&lt;50,4,IF(Q27&gt;=50,5,""))))))</f>
        <v>2</v>
      </c>
      <c r="S27" s="492" t="n">
        <f aca="false">IF(ISERROR(R27*I27),0,R27*I27)</f>
        <v>8</v>
      </c>
      <c r="T27" s="492" t="n">
        <f aca="false">IF(ISERROR(R27*I27*J27),0,R27*I27*J27)</f>
        <v>8</v>
      </c>
      <c r="U27" s="506" t="n">
        <f aca="false">IF(ISERROR(R27*J27),0,R27*J27)</f>
        <v>2</v>
      </c>
      <c r="V27" s="493" t="n">
        <v>2</v>
      </c>
      <c r="W27" s="494"/>
      <c r="Y27" s="495" t="str">
        <f aca="false">IF(A27="new.cod","NEWCOD",IF(AND((Z27=""),ISTEXT(A27)),A27,IF(Z27="","",INDEX('liste reference'!$A$7:$A$904,Z27))))</f>
        <v>VAUSPX</v>
      </c>
      <c r="Z27" s="284" t="n">
        <f aca="false">IF(ISERROR(MATCH(A27,'liste reference'!$A$7:$A$904,0)),IF(ISERROR(MATCH(A27,'liste reference'!$B$7:$B$904,0)),"",(MATCH(A27,'liste reference'!$B$7:$B$904,0))),(MATCH(A27,'liste reference'!$A$7:$A$904,0)))</f>
        <v>83</v>
      </c>
      <c r="AA27" s="496"/>
      <c r="AB27" s="497"/>
      <c r="AC27" s="497"/>
      <c r="BC27" s="284" t="n">
        <f aca="false">IF(A27="","",1)</f>
        <v>1</v>
      </c>
    </row>
    <row r="28" customFormat="false" ht="12.75" hidden="false" customHeight="false" outlineLevel="0" collapsed="false">
      <c r="A28" s="498" t="s">
        <v>360</v>
      </c>
      <c r="B28" s="499" t="n">
        <v>1</v>
      </c>
      <c r="C28" s="500"/>
      <c r="D28" s="501" t="str">
        <f aca="false">IF(ISERROR(VLOOKUP($A28,'liste reference'!$A$7:$D$904,2,0)),IF(ISERROR(VLOOKUP($A28,'liste reference'!$B$7:$D$904,1,0)),"",VLOOKUP($A28,'liste reference'!$B$7:$D$904,1,0)),VLOOKUP($A28,'liste reference'!$A$7:$D$904,2,0))</f>
        <v>Chiloscyphus polyanthos var. polyanthos</v>
      </c>
      <c r="E28" s="501" t="e">
        <f aca="false">IF(D28="",0,VLOOKUP(D28,D$22:D27,1,0))</f>
        <v>#N/A</v>
      </c>
      <c r="F28" s="508" t="n">
        <f aca="false">($B28*$B$7+$C28*$C$7)/100</f>
        <v>0.46</v>
      </c>
      <c r="G28" s="503" t="str">
        <f aca="false">IF(A28="","",IF(ISERROR(VLOOKUP($A28,'liste reference'!$A$7:$P$904,13,0)),IF(ISERROR(VLOOKUP($A28,'liste reference'!$B$7:$P$904,12,0)),"    -",VLOOKUP($A28,'liste reference'!$B$7:$P$904,12,0)),VLOOKUP($A28,'liste reference'!$A$7:$P$904,13,0)))</f>
        <v>BRh</v>
      </c>
      <c r="H28" s="484" t="n">
        <f aca="false">IF(A28="","x",IF(ISERROR(VLOOKUP($A28,'liste reference'!$A$7:$P$904,14,0)),IF(ISERROR(VLOOKUP($A28,'liste reference'!$B$7:$P$904,13,0)),"x",VLOOKUP($A28,'liste reference'!$B$7:$P$904,13,0)),VLOOKUP($A28,'liste reference'!$A$7:$P$904,14,0)))</f>
        <v>4</v>
      </c>
      <c r="I28" s="504" t="n">
        <f aca="false">IF(ISNUMBER(H28),IF(ISERROR(VLOOKUP($A28,'liste reference'!$A$7:$P$904,3,0)),IF(ISERROR(VLOOKUP($A28,'liste reference'!$B$7:$P$904,2,0)),"",VLOOKUP($A28,'liste reference'!$B$7:$P$904,2,0)),VLOOKUP($A28,'liste reference'!$A$7:$P$904,3,0)),"")</f>
        <v>15</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Chiloscyphus polyanthos var. polyanthos</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1186</v>
      </c>
      <c r="Q28" s="491" t="n">
        <f aca="false">IF(ISTEXT(H28),"",(B28*$B$7/100)+(C28*$C$7/100))</f>
        <v>0.46</v>
      </c>
      <c r="R28" s="492" t="n">
        <f aca="false">IF(OR(ISTEXT(H28),Q28=0),"",IF(Q28&lt;0.1,1,IF(Q28&lt;1,2,IF(Q28&lt;10,3,IF(Q28&lt;50,4,IF(Q28&gt;=50,5,""))))))</f>
        <v>2</v>
      </c>
      <c r="S28" s="492" t="n">
        <f aca="false">IF(ISERROR(R28*I28),0,R28*I28)</f>
        <v>30</v>
      </c>
      <c r="T28" s="492" t="n">
        <f aca="false">IF(ISERROR(R28*I28*J28),0,R28*I28*J28)</f>
        <v>60</v>
      </c>
      <c r="U28" s="506" t="n">
        <f aca="false">IF(ISERROR(R28*J28),0,R28*J28)</f>
        <v>4</v>
      </c>
      <c r="V28" s="493" t="n">
        <v>4</v>
      </c>
      <c r="W28" s="494"/>
      <c r="X28" s="494"/>
      <c r="Y28" s="495" t="str">
        <f aca="false">IF(A28="new.cod","NEWCOD",IF(AND((Z28=""),ISTEXT(A28)),A28,IF(Z28="","",INDEX('liste reference'!$A$7:$A$904,Z28))))</f>
        <v>CHIPOL</v>
      </c>
      <c r="Z28" s="284" t="n">
        <f aca="false">IF(ISERROR(MATCH(A28,'liste reference'!$A$7:$A$904,0)),IF(ISERROR(MATCH(A28,'liste reference'!$B$7:$B$904,0)),"",(MATCH(A28,'liste reference'!$B$7:$B$904,0))),(MATCH(A28,'liste reference'!$A$7:$A$904,0)))</f>
        <v>98</v>
      </c>
      <c r="AA28" s="496"/>
      <c r="AB28" s="497"/>
      <c r="AC28" s="497"/>
      <c r="BC28" s="284" t="n">
        <f aca="false">IF(A28="","",1)</f>
        <v>1</v>
      </c>
    </row>
    <row r="29" customFormat="false" ht="12.75" hidden="false" customHeight="false" outlineLevel="0" collapsed="false">
      <c r="A29" s="498" t="s">
        <v>514</v>
      </c>
      <c r="B29" s="499" t="n">
        <v>0.15</v>
      </c>
      <c r="C29" s="500" t="n">
        <v>0.9</v>
      </c>
      <c r="D29" s="501" t="str">
        <f aca="false">IF(ISERROR(VLOOKUP($A29,'liste reference'!$A$7:$D$904,2,0)),IF(ISERROR(VLOOKUP($A29,'liste reference'!$B$7:$D$904,1,0)),"",VLOOKUP($A29,'liste reference'!$B$7:$D$904,1,0)),VLOOKUP($A29,'liste reference'!$A$7:$D$904,2,0))</f>
        <v>Pellia endiviifolia</v>
      </c>
      <c r="E29" s="501" t="e">
        <f aca="false">IF(D29="",0,VLOOKUP(D29,D$22:D28,1,0))</f>
        <v>#N/A</v>
      </c>
      <c r="F29" s="508" t="n">
        <f aca="false">($B29*$B$7+$C29*$C$7)/100</f>
        <v>0.555</v>
      </c>
      <c r="G29" s="503" t="str">
        <f aca="false">IF(A29="","",IF(ISERROR(VLOOKUP($A29,'liste reference'!$A$7:$P$904,13,0)),IF(ISERROR(VLOOKUP($A29,'liste reference'!$B$7:$P$904,12,0)),"    -",VLOOKUP($A29,'liste reference'!$B$7:$P$904,12,0)),VLOOKUP($A29,'liste reference'!$A$7:$P$904,13,0)))</f>
        <v>BRh</v>
      </c>
      <c r="H29" s="484" t="n">
        <f aca="false">IF(A29="","x",IF(ISERROR(VLOOKUP($A29,'liste reference'!$A$7:$P$904,14,0)),IF(ISERROR(VLOOKUP($A29,'liste reference'!$B$7:$P$904,13,0)),"x",VLOOKUP($A29,'liste reference'!$B$7:$P$904,13,0)),VLOOKUP($A29,'liste reference'!$A$7:$P$904,14,0)))</f>
        <v>4</v>
      </c>
      <c r="I29" s="504" t="n">
        <f aca="false">IF(ISNUMBER(H29),IF(ISERROR(VLOOKUP($A29,'liste reference'!$A$7:$P$904,3,0)),IF(ISERROR(VLOOKUP($A29,'liste reference'!$B$7:$P$904,2,0)),"",VLOOKUP($A29,'liste reference'!$B$7:$P$904,2,0)),VLOOKUP($A29,'liste reference'!$A$7:$P$904,3,0)),"")</f>
        <v>0</v>
      </c>
      <c r="J29" s="486" t="n">
        <f aca="false">IF(ISNUMBER(H29),IF(ISERROR(VLOOKUP($A29,'liste reference'!$A$7:$P$904,4,0)),IF(ISERROR(VLOOKUP($A29,'liste reference'!$B$7:$P$904,3,0)),"",VLOOKUP($A29,'liste reference'!$B$7:$P$904,3,0)),VLOOKUP($A29,'liste reference'!$A$7:$P$904,4,0)),"")</f>
        <v>0</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Pellia endiviifolia</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1197</v>
      </c>
      <c r="Q29" s="491" t="n">
        <f aca="false">IF(ISTEXT(H29),"",(B29*$B$7/100)+(C29*$C$7/100))</f>
        <v>0.555</v>
      </c>
      <c r="R29" s="492" t="n">
        <f aca="false">IF(OR(ISTEXT(H29),Q29=0),"",IF(Q29&lt;0.1,1,IF(Q29&lt;1,2,IF(Q29&lt;10,3,IF(Q29&lt;50,4,IF(Q29&gt;=50,5,""))))))</f>
        <v>2</v>
      </c>
      <c r="S29" s="492" t="n">
        <f aca="false">IF(ISERROR(R29*I29),0,R29*I29)</f>
        <v>0</v>
      </c>
      <c r="T29" s="492" t="n">
        <f aca="false">IF(ISERROR(R29*I29*J29),0,R29*I29*J29)</f>
        <v>0</v>
      </c>
      <c r="U29" s="506" t="n">
        <f aca="false">IF(ISERROR(R29*J29),0,R29*J29)</f>
        <v>0</v>
      </c>
      <c r="V29" s="493" t="n">
        <v>0</v>
      </c>
      <c r="W29" s="507"/>
      <c r="Y29" s="495" t="str">
        <f aca="false">IF(A29="new.cod","NEWCOD",IF(AND((Z29=""),ISTEXT(A29)),A29,IF(Z29="","",INDEX('liste reference'!$A$7:$A$904,Z29))))</f>
        <v>PELEND</v>
      </c>
      <c r="Z29" s="284" t="n">
        <f aca="false">IF(ISERROR(MATCH(A29,'liste reference'!$A$7:$A$904,0)),IF(ISERROR(MATCH(A29,'liste reference'!$B$7:$B$904,0)),"",(MATCH(A29,'liste reference'!$B$7:$B$904,0))),(MATCH(A29,'liste reference'!$A$7:$A$904,0)))</f>
        <v>121</v>
      </c>
      <c r="AA29" s="496"/>
      <c r="AB29" s="497"/>
      <c r="AC29" s="497"/>
      <c r="BC29" s="284" t="n">
        <f aca="false">IF(A29="","",1)</f>
        <v>1</v>
      </c>
    </row>
    <row r="30" customFormat="false" ht="12.75" hidden="false" customHeight="false" outlineLevel="0" collapsed="false">
      <c r="A30" s="498" t="s">
        <v>647</v>
      </c>
      <c r="B30" s="499" t="n">
        <v>0.05</v>
      </c>
      <c r="C30" s="500" t="n">
        <v>0.05</v>
      </c>
      <c r="D30" s="501" t="str">
        <f aca="false">IF(ISERROR(VLOOKUP($A30,'liste reference'!$A$7:$D$904,2,0)),IF(ISERROR(VLOOKUP($A30,'liste reference'!$B$7:$D$904,1,0)),"",VLOOKUP($A30,'liste reference'!$B$7:$D$904,1,0)),VLOOKUP($A30,'liste reference'!$A$7:$D$904,2,0))</f>
        <v>Amblystegium riparium</v>
      </c>
      <c r="E30" s="501" t="e">
        <f aca="false">IF(D30="",0,VLOOKUP(D30,D$22:D29,1,0))</f>
        <v>#N/A</v>
      </c>
      <c r="F30" s="508" t="n">
        <f aca="false">($B30*$B$7+$C30*$C$7)/100</f>
        <v>0.05</v>
      </c>
      <c r="G30" s="503" t="str">
        <f aca="false">IF(A30="","",IF(ISERROR(VLOOKUP($A30,'liste reference'!$A$7:$P$904,13,0)),IF(ISERROR(VLOOKUP($A30,'liste reference'!$B$7:$P$904,12,0)),"    -",VLOOKUP($A30,'liste reference'!$B$7:$P$904,12,0)),VLOOKUP($A30,'liste reference'!$A$7:$P$904,13,0)))</f>
        <v>BRm</v>
      </c>
      <c r="H30" s="484" t="n">
        <f aca="false">IF(A30="","x",IF(ISERROR(VLOOKUP($A30,'liste reference'!$A$7:$P$904,14,0)),IF(ISERROR(VLOOKUP($A30,'liste reference'!$B$7:$P$904,13,0)),"x",VLOOKUP($A30,'liste reference'!$B$7:$P$904,13,0)),VLOOKUP($A30,'liste reference'!$A$7:$P$904,14,0)))</f>
        <v>5</v>
      </c>
      <c r="I30" s="504" t="n">
        <f aca="false">IF(ISNUMBER(H30),IF(ISERROR(VLOOKUP($A30,'liste reference'!$A$7:$P$904,3,0)),IF(ISERROR(VLOOKUP($A30,'liste reference'!$B$7:$P$904,2,0)),"",VLOOKUP($A30,'liste reference'!$B$7:$P$904,2,0)),VLOOKUP($A30,'liste reference'!$A$7:$P$904,3,0)),"")</f>
        <v>5</v>
      </c>
      <c r="J30" s="486" t="n">
        <f aca="false">IF(ISNUMBER(H30),IF(ISERROR(VLOOKUP($A30,'liste reference'!$A$7:$P$904,4,0)),IF(ISERROR(VLOOKUP($A30,'liste reference'!$B$7:$P$904,3,0)),"",VLOOKUP($A30,'liste reference'!$B$7:$P$904,3,0)),VLOOKUP($A30,'liste reference'!$A$7:$P$904,4,0)),"")</f>
        <v>2</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Amblystegium riparium</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1219</v>
      </c>
      <c r="Q30" s="491" t="n">
        <f aca="false">IF(ISTEXT(H30),"",(B30*$B$7/100)+(C30*$C$7/100))</f>
        <v>0.05</v>
      </c>
      <c r="R30" s="492" t="n">
        <f aca="false">IF(OR(ISTEXT(H30),Q30=0),"",IF(Q30&lt;0.1,1,IF(Q30&lt;1,2,IF(Q30&lt;10,3,IF(Q30&lt;50,4,IF(Q30&gt;=50,5,""))))))</f>
        <v>1</v>
      </c>
      <c r="S30" s="492" t="n">
        <f aca="false">IF(ISERROR(R30*I30),0,R30*I30)</f>
        <v>5</v>
      </c>
      <c r="T30" s="492" t="n">
        <f aca="false">IF(ISERROR(R30*I30*J30),0,R30*I30*J30)</f>
        <v>10</v>
      </c>
      <c r="U30" s="506" t="n">
        <f aca="false">IF(ISERROR(R30*J30),0,R30*J30)</f>
        <v>2</v>
      </c>
      <c r="V30" s="493" t="n">
        <v>2</v>
      </c>
      <c r="W30" s="494"/>
      <c r="Y30" s="495" t="str">
        <f aca="false">IF(A30="new.cod","NEWCOD",IF(AND((Z30=""),ISTEXT(A30)),A30,IF(Z30="","",INDEX('liste reference'!$A$7:$A$904,Z30))))</f>
        <v>AMBRIP</v>
      </c>
      <c r="Z30" s="284" t="n">
        <f aca="false">IF(ISERROR(MATCH(A30,'liste reference'!$A$7:$A$904,0)),IF(ISERROR(MATCH(A30,'liste reference'!$B$7:$B$904,0)),"",(MATCH(A30,'liste reference'!$B$7:$B$904,0))),(MATCH(A30,'liste reference'!$A$7:$A$904,0)))</f>
        <v>149</v>
      </c>
      <c r="AA30" s="496"/>
      <c r="AB30" s="497"/>
      <c r="AC30" s="497"/>
      <c r="BC30" s="284" t="n">
        <f aca="false">IF(A30="","",1)</f>
        <v>1</v>
      </c>
    </row>
    <row r="31" customFormat="false" ht="12.75" hidden="false" customHeight="false" outlineLevel="0" collapsed="false">
      <c r="A31" s="498" t="s">
        <v>655</v>
      </c>
      <c r="B31" s="499" t="n">
        <v>2</v>
      </c>
      <c r="C31" s="500"/>
      <c r="D31" s="501" t="str">
        <f aca="false">IF(ISERROR(VLOOKUP($A31,'liste reference'!$A$7:$D$904,2,0)),IF(ISERROR(VLOOKUP($A31,'liste reference'!$B$7:$D$904,1,0)),"",VLOOKUP($A31,'liste reference'!$B$7:$D$904,1,0)),VLOOKUP($A31,'liste reference'!$A$7:$D$904,2,0))</f>
        <v>Amblystegium tenax</v>
      </c>
      <c r="E31" s="501" t="e">
        <f aca="false">IF(D31="",0,VLOOKUP(D31,D$22:D30,1,0))</f>
        <v>#N/A</v>
      </c>
      <c r="F31" s="508" t="n">
        <f aca="false">($B31*$B$7+$C31*$C$7)/100</f>
        <v>0.92</v>
      </c>
      <c r="G31" s="503" t="str">
        <f aca="false">IF(A31="","",IF(ISERROR(VLOOKUP($A31,'liste reference'!$A$7:$P$904,13,0)),IF(ISERROR(VLOOKUP($A31,'liste reference'!$B$7:$P$904,12,0)),"    -",VLOOKUP($A31,'liste reference'!$B$7:$P$904,12,0)),VLOOKUP($A31,'liste reference'!$A$7:$P$904,13,0)))</f>
        <v>BRm</v>
      </c>
      <c r="H31" s="484" t="n">
        <f aca="false">IF(A31="","x",IF(ISERROR(VLOOKUP($A31,'liste reference'!$A$7:$P$904,14,0)),IF(ISERROR(VLOOKUP($A31,'liste reference'!$B$7:$P$904,13,0)),"x",VLOOKUP($A31,'liste reference'!$B$7:$P$904,13,0)),VLOOKUP($A31,'liste reference'!$A$7:$P$904,14,0)))</f>
        <v>5</v>
      </c>
      <c r="I31" s="504" t="n">
        <f aca="false">IF(ISNUMBER(H31),IF(ISERROR(VLOOKUP($A31,'liste reference'!$A$7:$P$904,3,0)),IF(ISERROR(VLOOKUP($A31,'liste reference'!$B$7:$P$904,2,0)),"",VLOOKUP($A31,'liste reference'!$B$7:$P$904,2,0)),VLOOKUP($A31,'liste reference'!$A$7:$P$904,3,0)),"")</f>
        <v>15</v>
      </c>
      <c r="J31" s="486" t="n">
        <f aca="false">IF(ISNUMBER(H31),IF(ISERROR(VLOOKUP($A31,'liste reference'!$A$7:$P$904,4,0)),IF(ISERROR(VLOOKUP($A31,'liste reference'!$B$7:$P$904,3,0)),"",VLOOKUP($A31,'liste reference'!$B$7:$P$904,3,0)),VLOOKUP($A31,'liste reference'!$A$7:$P$904,4,0)),"")</f>
        <v>2</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tenax</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10210</v>
      </c>
      <c r="Q31" s="491" t="n">
        <f aca="false">IF(ISTEXT(H31),"",(B31*$B$7/100)+(C31*$C$7/100))</f>
        <v>0.92</v>
      </c>
      <c r="R31" s="492" t="n">
        <f aca="false">IF(OR(ISTEXT(H31),Q31=0),"",IF(Q31&lt;0.1,1,IF(Q31&lt;1,2,IF(Q31&lt;10,3,IF(Q31&lt;50,4,IF(Q31&gt;=50,5,""))))))</f>
        <v>2</v>
      </c>
      <c r="S31" s="492" t="n">
        <f aca="false">IF(ISERROR(R31*I31),0,R31*I31)</f>
        <v>30</v>
      </c>
      <c r="T31" s="492" t="n">
        <f aca="false">IF(ISERROR(R31*I31*J31),0,R31*I31*J31)</f>
        <v>60</v>
      </c>
      <c r="U31" s="506" t="n">
        <f aca="false">IF(ISERROR(R31*J31),0,R31*J31)</f>
        <v>4</v>
      </c>
      <c r="V31" s="493" t="n">
        <v>4</v>
      </c>
      <c r="W31" s="494"/>
      <c r="Y31" s="495" t="str">
        <f aca="false">IF(A31="new.cod","NEWCOD",IF(AND((Z31=""),ISTEXT(A31)),A31,IF(Z31="","",INDEX('liste reference'!$A$7:$A$904,Z31))))</f>
        <v>AMBTEN</v>
      </c>
      <c r="Z31" s="284" t="n">
        <f aca="false">IF(ISERROR(MATCH(A31,'liste reference'!$A$7:$A$904,0)),IF(ISERROR(MATCH(A31,'liste reference'!$B$7:$B$904,0)),"",(MATCH(A31,'liste reference'!$B$7:$B$904,0))),(MATCH(A31,'liste reference'!$A$7:$A$904,0)))</f>
        <v>151</v>
      </c>
      <c r="AA31" s="496" t="s">
        <v>2720</v>
      </c>
      <c r="AB31" s="497"/>
      <c r="AC31" s="497"/>
      <c r="BC31" s="284" t="n">
        <f aca="false">IF(A31="","",1)</f>
        <v>1</v>
      </c>
    </row>
    <row r="32" customFormat="false" ht="12.75" hidden="false" customHeight="false" outlineLevel="0" collapsed="false">
      <c r="A32" s="498" t="s">
        <v>751</v>
      </c>
      <c r="B32" s="499" t="n">
        <v>13</v>
      </c>
      <c r="C32" s="500" t="n">
        <v>7</v>
      </c>
      <c r="D32" s="501" t="str">
        <f aca="false">IF(ISERROR(VLOOKUP($A32,'liste reference'!$A$7:$D$904,2,0)),IF(ISERROR(VLOOKUP($A32,'liste reference'!$B$7:$D$904,1,0)),"",VLOOKUP($A32,'liste reference'!$B$7:$D$904,1,0)),VLOOKUP($A32,'liste reference'!$A$7:$D$904,2,0))</f>
        <v>Cinclidotus riparius</v>
      </c>
      <c r="E32" s="501" t="e">
        <f aca="false">IF(D32="",0,VLOOKUP(D32,D$22:D31,1,0))</f>
        <v>#N/A</v>
      </c>
      <c r="F32" s="508" t="n">
        <f aca="false">($B32*$B$7+$C32*$C$7)/100</f>
        <v>9.76</v>
      </c>
      <c r="G32" s="503" t="str">
        <f aca="false">IF(A32="","",IF(ISERROR(VLOOKUP($A32,'liste reference'!$A$7:$P$904,13,0)),IF(ISERROR(VLOOKUP($A32,'liste reference'!$B$7:$P$904,12,0)),"    -",VLOOKUP($A32,'liste reference'!$B$7:$P$904,12,0)),VLOOKUP($A32,'liste reference'!$A$7:$P$904,13,0)))</f>
        <v>BRm</v>
      </c>
      <c r="H32" s="484" t="n">
        <f aca="false">IF(A32="","x",IF(ISERROR(VLOOKUP($A32,'liste reference'!$A$7:$P$904,14,0)),IF(ISERROR(VLOOKUP($A32,'liste reference'!$B$7:$P$904,13,0)),"x",VLOOKUP($A32,'liste reference'!$B$7:$P$904,13,0)),VLOOKUP($A32,'liste reference'!$A$7:$P$904,14,0)))</f>
        <v>5</v>
      </c>
      <c r="I32" s="504" t="n">
        <f aca="false">IF(ISNUMBER(H32),IF(ISERROR(VLOOKUP($A32,'liste reference'!$A$7:$P$904,3,0)),IF(ISERROR(VLOOKUP($A32,'liste reference'!$B$7:$P$904,2,0)),"",VLOOKUP($A32,'liste reference'!$B$7:$P$904,2,0)),VLOOKUP($A32,'liste reference'!$A$7:$P$904,3,0)),"")</f>
        <v>13</v>
      </c>
      <c r="J32" s="486" t="n">
        <f aca="false">IF(ISNUMBER(H32),IF(ISERROR(VLOOKUP($A32,'liste reference'!$A$7:$P$904,4,0)),IF(ISERROR(VLOOKUP($A32,'liste reference'!$B$7:$P$904,3,0)),"",VLOOKUP($A32,'liste reference'!$B$7:$P$904,3,0)),VLOOKUP($A32,'liste reference'!$A$7:$P$904,4,0)),"")</f>
        <v>2</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Cinclidotus riparius</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1321</v>
      </c>
      <c r="Q32" s="491" t="n">
        <f aca="false">IF(ISTEXT(H32),"",(B32*$B$7/100)+(C32*$C$7/100))</f>
        <v>9.76</v>
      </c>
      <c r="R32" s="492" t="n">
        <f aca="false">IF(OR(ISTEXT(H32),Q32=0),"",IF(Q32&lt;0.1,1,IF(Q32&lt;1,2,IF(Q32&lt;10,3,IF(Q32&lt;50,4,IF(Q32&gt;=50,5,""))))))</f>
        <v>3</v>
      </c>
      <c r="S32" s="492" t="n">
        <f aca="false">IF(ISERROR(R32*I32),0,R32*I32)</f>
        <v>39</v>
      </c>
      <c r="T32" s="492" t="n">
        <f aca="false">IF(ISERROR(R32*I32*J32),0,R32*I32*J32)</f>
        <v>78</v>
      </c>
      <c r="U32" s="506" t="n">
        <f aca="false">IF(ISERROR(R32*J32),0,R32*J32)</f>
        <v>6</v>
      </c>
      <c r="V32" s="493" t="n">
        <v>6</v>
      </c>
      <c r="W32" s="494"/>
      <c r="Y32" s="495" t="str">
        <f aca="false">IF(A32="new.cod","NEWCOD",IF(AND((Z32=""),ISTEXT(A32)),A32,IF(Z32="","",INDEX('liste reference'!$A$7:$A$904,Z32))))</f>
        <v>CINRIP</v>
      </c>
      <c r="Z32" s="284" t="n">
        <f aca="false">IF(ISERROR(MATCH(A32,'liste reference'!$A$7:$A$904,0)),IF(ISERROR(MATCH(A32,'liste reference'!$B$7:$B$904,0)),"",(MATCH(A32,'liste reference'!$B$7:$B$904,0))),(MATCH(A32,'liste reference'!$A$7:$A$904,0)))</f>
        <v>175</v>
      </c>
      <c r="AA32" s="496"/>
      <c r="AB32" s="497"/>
      <c r="AC32" s="497"/>
      <c r="BC32" s="284" t="n">
        <f aca="false">IF(A32="","",1)</f>
        <v>1</v>
      </c>
    </row>
    <row r="33" customFormat="false" ht="12.75" hidden="false" customHeight="false" outlineLevel="0" collapsed="false">
      <c r="A33" s="498" t="s">
        <v>854</v>
      </c>
      <c r="B33" s="499" t="n">
        <v>0.05</v>
      </c>
      <c r="C33" s="500"/>
      <c r="D33" s="501" t="str">
        <f aca="false">IF(ISERROR(VLOOKUP($A33,'liste reference'!$A$7:$D$904,2,0)),IF(ISERROR(VLOOKUP($A33,'liste reference'!$B$7:$D$904,1,0)),"",VLOOKUP($A33,'liste reference'!$B$7:$D$904,1,0)),VLOOKUP($A33,'liste reference'!$A$7:$D$904,2,0))</f>
        <v>Fissidens crassipes</v>
      </c>
      <c r="E33" s="501" t="e">
        <f aca="false">IF(D33="",0,VLOOKUP(D33,D$22:D32,1,0))</f>
        <v>#N/A</v>
      </c>
      <c r="F33" s="508" t="n">
        <f aca="false">($B33*$B$7+$C33*$C$7)/100</f>
        <v>0.023</v>
      </c>
      <c r="G33" s="503" t="str">
        <f aca="false">IF(A33="","",IF(ISERROR(VLOOKUP($A33,'liste reference'!$A$7:$P$904,13,0)),IF(ISERROR(VLOOKUP($A33,'liste reference'!$B$7:$P$904,12,0)),"    -",VLOOKUP($A33,'liste reference'!$B$7:$P$904,12,0)),VLOOKUP($A33,'liste reference'!$A$7:$P$904,13,0)))</f>
        <v>BRm</v>
      </c>
      <c r="H33" s="484" t="n">
        <f aca="false">IF(A33="","x",IF(ISERROR(VLOOKUP($A33,'liste reference'!$A$7:$P$904,14,0)),IF(ISERROR(VLOOKUP($A33,'liste reference'!$B$7:$P$904,13,0)),"x",VLOOKUP($A33,'liste reference'!$B$7:$P$904,13,0)),VLOOKUP($A33,'liste reference'!$A$7:$P$904,14,0)))</f>
        <v>5</v>
      </c>
      <c r="I33" s="504" t="n">
        <f aca="false">IF(ISNUMBER(H33),IF(ISERROR(VLOOKUP($A33,'liste reference'!$A$7:$P$904,3,0)),IF(ISERROR(VLOOKUP($A33,'liste reference'!$B$7:$P$904,2,0)),"",VLOOKUP($A33,'liste reference'!$B$7:$P$904,2,0)),VLOOKUP($A33,'liste reference'!$A$7:$P$904,3,0)),"")</f>
        <v>12</v>
      </c>
      <c r="J33" s="486" t="n">
        <f aca="false">IF(ISNUMBER(H33),IF(ISERROR(VLOOKUP($A33,'liste reference'!$A$7:$P$904,4,0)),IF(ISERROR(VLOOKUP($A33,'liste reference'!$B$7:$P$904,3,0)),"",VLOOKUP($A33,'liste reference'!$B$7:$P$904,3,0)),VLOOKUP($A33,'liste reference'!$A$7:$P$904,4,0)),"")</f>
        <v>2</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crassipes</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1294</v>
      </c>
      <c r="Q33" s="491" t="n">
        <f aca="false">IF(ISTEXT(H33),"",(B33*$B$7/100)+(C33*$C$7/100))</f>
        <v>0.023</v>
      </c>
      <c r="R33" s="492" t="n">
        <f aca="false">IF(OR(ISTEXT(H33),Q33=0),"",IF(Q33&lt;0.1,1,IF(Q33&lt;1,2,IF(Q33&lt;10,3,IF(Q33&lt;50,4,IF(Q33&gt;=50,5,""))))))</f>
        <v>1</v>
      </c>
      <c r="S33" s="492" t="n">
        <f aca="false">IF(ISERROR(R33*I33),0,R33*I33)</f>
        <v>12</v>
      </c>
      <c r="T33" s="492" t="n">
        <f aca="false">IF(ISERROR(R33*I33*J33),0,R33*I33*J33)</f>
        <v>24</v>
      </c>
      <c r="U33" s="506" t="n">
        <f aca="false">IF(ISERROR(R33*J33),0,R33*J33)</f>
        <v>2</v>
      </c>
      <c r="V33" s="493" t="n">
        <v>2</v>
      </c>
      <c r="W33" s="494"/>
      <c r="Y33" s="495" t="str">
        <f aca="false">IF(A33="new.cod","NEWCOD",IF(AND((Z33=""),ISTEXT(A33)),A33,IF(Z33="","",INDEX('liste reference'!$A$7:$A$904,Z33))))</f>
        <v>FISCRA</v>
      </c>
      <c r="Z33" s="284" t="n">
        <f aca="false">IF(ISERROR(MATCH(A33,'liste reference'!$A$7:$A$904,0)),IF(ISERROR(MATCH(A33,'liste reference'!$B$7:$B$904,0)),"",(MATCH(A33,'liste reference'!$B$7:$B$904,0))),(MATCH(A33,'liste reference'!$A$7:$A$904,0)))</f>
        <v>198</v>
      </c>
      <c r="AA33" s="496"/>
      <c r="AB33" s="497"/>
      <c r="AC33" s="497"/>
      <c r="BC33" s="284" t="n">
        <f aca="false">IF(A33="","",1)</f>
        <v>1</v>
      </c>
    </row>
    <row r="34" customFormat="false" ht="12.75" hidden="false" customHeight="false" outlineLevel="0" collapsed="false">
      <c r="A34" s="498" t="s">
        <v>900</v>
      </c>
      <c r="B34" s="499" t="n">
        <v>0.01</v>
      </c>
      <c r="C34" s="500" t="n">
        <v>0.1</v>
      </c>
      <c r="D34" s="501" t="str">
        <f aca="false">IF(ISERROR(VLOOKUP($A34,'liste reference'!$A$7:$D$904,2,0)),IF(ISERROR(VLOOKUP($A34,'liste reference'!$B$7:$D$904,1,0)),"",VLOOKUP($A34,'liste reference'!$B$7:$D$904,1,0)),VLOOKUP($A34,'liste reference'!$A$7:$D$904,2,0))</f>
        <v>Fontinalis antipyretica</v>
      </c>
      <c r="E34" s="501" t="e">
        <f aca="false">IF(D34="",0,VLOOKUP(D34,D$22:D33,1,0))</f>
        <v>#N/A</v>
      </c>
      <c r="F34" s="508" t="n">
        <f aca="false">($B34*$B$7+$C34*$C$7)/100</f>
        <v>0.0586</v>
      </c>
      <c r="G34" s="503" t="str">
        <f aca="false">IF(A34="","",IF(ISERROR(VLOOKUP($A34,'liste reference'!$A$7:$P$904,13,0)),IF(ISERROR(VLOOKUP($A34,'liste reference'!$B$7:$P$904,12,0)),"    -",VLOOKUP($A34,'liste reference'!$B$7:$P$904,12,0)),VLOOKUP($A34,'liste reference'!$A$7:$P$904,13,0)))</f>
        <v>BRm</v>
      </c>
      <c r="H34" s="484" t="n">
        <f aca="false">IF(A34="","x",IF(ISERROR(VLOOKUP($A34,'liste reference'!$A$7:$P$904,14,0)),IF(ISERROR(VLOOKUP($A34,'liste reference'!$B$7:$P$904,13,0)),"x",VLOOKUP($A34,'liste reference'!$B$7:$P$904,13,0)),VLOOKUP($A34,'liste reference'!$A$7:$P$904,14,0)))</f>
        <v>5</v>
      </c>
      <c r="I34" s="504" t="n">
        <f aca="false">IF(ISNUMBER(H34),IF(ISERROR(VLOOKUP($A34,'liste reference'!$A$7:$P$904,3,0)),IF(ISERROR(VLOOKUP($A34,'liste reference'!$B$7:$P$904,2,0)),"",VLOOKUP($A34,'liste reference'!$B$7:$P$904,2,0)),VLOOKUP($A34,'liste reference'!$A$7:$P$904,3,0)),"")</f>
        <v>10</v>
      </c>
      <c r="J34" s="486" t="n">
        <f aca="false">IF(ISNUMBER(H34),IF(ISERROR(VLOOKUP($A34,'liste reference'!$A$7:$P$904,4,0)),IF(ISERROR(VLOOKUP($A34,'liste reference'!$B$7:$P$904,3,0)),"",VLOOKUP($A34,'liste reference'!$B$7:$P$904,3,0)),VLOOKUP($A34,'liste reference'!$A$7:$P$904,4,0)),"")</f>
        <v>1</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antipyretica</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1310</v>
      </c>
      <c r="Q34" s="491" t="n">
        <f aca="false">IF(ISTEXT(H34),"",(B34*$B$7/100)+(C34*$C$7/100))</f>
        <v>0.0586</v>
      </c>
      <c r="R34" s="492" t="n">
        <f aca="false">IF(OR(ISTEXT(H34),Q34=0),"",IF(Q34&lt;0.1,1,IF(Q34&lt;1,2,IF(Q34&lt;10,3,IF(Q34&lt;50,4,IF(Q34&gt;=50,5,""))))))</f>
        <v>1</v>
      </c>
      <c r="S34" s="492" t="n">
        <f aca="false">IF(ISERROR(R34*I34),0,R34*I34)</f>
        <v>10</v>
      </c>
      <c r="T34" s="492" t="n">
        <f aca="false">IF(ISERROR(R34*I34*J34),0,R34*I34*J34)</f>
        <v>10</v>
      </c>
      <c r="U34" s="506" t="n">
        <f aca="false">IF(ISERROR(R34*J34),0,R34*J34)</f>
        <v>1</v>
      </c>
      <c r="V34" s="493" t="n">
        <v>1</v>
      </c>
      <c r="W34" s="494"/>
      <c r="Y34" s="495" t="str">
        <f aca="false">IF(A34="new.cod","NEWCOD",IF(AND((Z34=""),ISTEXT(A34)),A34,IF(Z34="","",INDEX('liste reference'!$A$7:$A$904,Z34))))</f>
        <v>FONANT</v>
      </c>
      <c r="Z34" s="284" t="n">
        <f aca="false">IF(ISERROR(MATCH(A34,'liste reference'!$A$7:$A$904,0)),IF(ISERROR(MATCH(A34,'liste reference'!$B$7:$B$904,0)),"",(MATCH(A34,'liste reference'!$B$7:$B$904,0))),(MATCH(A34,'liste reference'!$A$7:$A$904,0)))</f>
        <v>211</v>
      </c>
      <c r="AA34" s="496"/>
      <c r="AB34" s="497"/>
      <c r="AC34" s="497"/>
      <c r="BC34" s="284" t="n">
        <f aca="false">IF(A34="","",1)</f>
        <v>1</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Issole</v>
      </c>
      <c r="B84" s="531" t="str">
        <f aca="false">C3</f>
        <v>Ste Anastasie sur Issole</v>
      </c>
      <c r="C84" s="532" t="n">
        <f aca="false">A4</f>
        <v>41080</v>
      </c>
      <c r="D84" s="533" t="n">
        <f aca="false">IF(ISERROR(SUM($T$23:$T$82)/SUM($U$23:$U$82)),"",SUM($T$23:$T$82)/SUM($U$23:$U$82))</f>
        <v>10.4857142857143</v>
      </c>
      <c r="E84" s="534" t="n">
        <f aca="false">N13</f>
        <v>12</v>
      </c>
      <c r="F84" s="531" t="n">
        <f aca="false">N14</f>
        <v>12</v>
      </c>
      <c r="G84" s="531" t="n">
        <f aca="false">N15</f>
        <v>4</v>
      </c>
      <c r="H84" s="531" t="n">
        <f aca="false">N16</f>
        <v>6</v>
      </c>
      <c r="I84" s="531" t="n">
        <f aca="false">N17</f>
        <v>1</v>
      </c>
      <c r="J84" s="535" t="n">
        <f aca="false">N8</f>
        <v>8.83333333333333</v>
      </c>
      <c r="K84" s="533" t="n">
        <f aca="false">N9</f>
        <v>5.47445860060125</v>
      </c>
      <c r="L84" s="534" t="n">
        <f aca="false">N10</f>
        <v>0</v>
      </c>
      <c r="M84" s="534" t="n">
        <f aca="false">N11</f>
        <v>15</v>
      </c>
      <c r="N84" s="533" t="n">
        <f aca="false">O8</f>
        <v>1.58333333333333</v>
      </c>
      <c r="O84" s="533" t="n">
        <f aca="false">O9</f>
        <v>0.792961461098759</v>
      </c>
      <c r="P84" s="534"/>
      <c r="Q84" s="534" t="n">
        <f aca="false">O10</f>
        <v>0</v>
      </c>
      <c r="R84" s="534" t="n">
        <f aca="false">O11</f>
        <v>3</v>
      </c>
      <c r="S84" s="536" t="n">
        <f aca="false">F21</f>
        <v>26.9315</v>
      </c>
      <c r="T84" s="534" t="n">
        <f aca="false">K11</f>
        <v>0</v>
      </c>
      <c r="U84" s="534" t="n">
        <f aca="false">K12</f>
        <v>5</v>
      </c>
      <c r="V84" s="534" t="n">
        <f aca="false">K13</f>
        <v>7</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39</v>
      </c>
      <c r="T87" s="284"/>
      <c r="U87" s="284"/>
      <c r="V87" s="284"/>
    </row>
    <row r="88" customFormat="false" ht="12.75" hidden="true" customHeight="false" outlineLevel="0" collapsed="false">
      <c r="P88" s="284"/>
      <c r="Q88" s="284" t="s">
        <v>2700</v>
      </c>
      <c r="R88" s="284"/>
      <c r="S88" s="493" t="n">
        <f aca="false">VLOOKUP((S87),($S$23:$U$82),2,0)</f>
        <v>78</v>
      </c>
      <c r="T88" s="284"/>
      <c r="U88" s="284"/>
      <c r="V88" s="284"/>
    </row>
    <row r="89" customFormat="false" ht="12.75" hidden="false" customHeight="false" outlineLevel="0" collapsed="false">
      <c r="Q89" s="284" t="s">
        <v>2701</v>
      </c>
      <c r="R89" s="284"/>
      <c r="S89" s="493" t="n">
        <f aca="false">VLOOKUP((S87),($S$23:$U$82),3,0)</f>
        <v>6</v>
      </c>
      <c r="T89" s="284"/>
    </row>
    <row r="90" customFormat="false" ht="12.75" hidden="false" customHeight="false" outlineLevel="0" collapsed="false">
      <c r="Q90" s="284" t="s">
        <v>2702</v>
      </c>
      <c r="R90" s="284"/>
      <c r="S90" s="541" t="n">
        <f aca="false">IF(ISERROR(SUM($T$23:$T$82)/SUM($U$23:$U$82)),"",(SUM($T$23:$T$82)-S88)/(SUM($U$23:$U$82)-S89))</f>
        <v>9.96551724137931</v>
      </c>
      <c r="T90" s="284"/>
    </row>
    <row r="91" customFormat="false" ht="12.75" hidden="false" customHeight="false" outlineLevel="0" collapsed="false">
      <c r="Q91" s="492" t="s">
        <v>2703</v>
      </c>
      <c r="R91" s="492"/>
      <c r="S91" s="492" t="str">
        <f aca="false">INDEX('liste reference'!$A$7:$A$904,$T$91)</f>
        <v>CINRIP</v>
      </c>
      <c r="T91" s="284" t="n">
        <f aca="false">IF(ISERROR(MATCH($S$93,'liste reference'!$A$7:$A$904,0)),MATCH($S$93,'liste reference'!$B$7:$B$904,0),(MATCH($S$93,'liste reference'!$A$7:$A$904,0)))</f>
        <v>175</v>
      </c>
      <c r="U91" s="529"/>
    </row>
    <row r="92" customFormat="false" ht="12.75" hidden="false" customHeight="false" outlineLevel="0" collapsed="false">
      <c r="Q92" s="284" t="s">
        <v>2704</v>
      </c>
      <c r="R92" s="284"/>
      <c r="S92" s="284" t="n">
        <f aca="false">MATCH(S87,$S$23:$S$82,0)</f>
        <v>10</v>
      </c>
      <c r="T92" s="284"/>
    </row>
    <row r="93" customFormat="false" ht="12.75" hidden="false" customHeight="false" outlineLevel="0" collapsed="false">
      <c r="Q93" s="492" t="s">
        <v>2705</v>
      </c>
      <c r="R93" s="284"/>
      <c r="S93" s="492" t="str">
        <f aca="false">INDEX($A$23:$A$82,$S$92)</f>
        <v>CINRIP</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2721</v>
      </c>
      <c r="B1" s="552"/>
      <c r="C1" s="552"/>
      <c r="D1" s="552"/>
    </row>
    <row r="2" customFormat="false" ht="15" hidden="false" customHeight="false" outlineLevel="0" collapsed="false">
      <c r="A2" s="553" t="s">
        <v>2722</v>
      </c>
      <c r="B2" s="554"/>
      <c r="C2" s="555"/>
      <c r="D2" s="555"/>
    </row>
    <row r="3" customFormat="false" ht="15.75" hidden="false" customHeight="false" outlineLevel="0" collapsed="false">
      <c r="A3" s="553" t="s">
        <v>2723</v>
      </c>
      <c r="B3" s="554"/>
      <c r="C3" s="555"/>
      <c r="D3" s="556" t="s">
        <v>2724</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2725</v>
      </c>
      <c r="G15" s="574"/>
      <c r="H15" s="575" t="s">
        <v>2726</v>
      </c>
      <c r="I15" s="574"/>
    </row>
    <row r="16" customFormat="false" ht="12.75" hidden="false" customHeight="false" outlineLevel="0" collapsed="false">
      <c r="A16" s="570" t="s">
        <v>1722</v>
      </c>
      <c r="B16" s="569" t="s">
        <v>1723</v>
      </c>
      <c r="C16" s="571"/>
      <c r="D16" s="572"/>
      <c r="F16" s="576" t="s">
        <v>2727</v>
      </c>
      <c r="G16" s="577"/>
      <c r="H16" s="576" t="s">
        <v>2727</v>
      </c>
      <c r="I16" s="578"/>
    </row>
    <row r="17" customFormat="false" ht="12.75" hidden="false" customHeight="false" outlineLevel="0" collapsed="false">
      <c r="A17" s="568" t="s">
        <v>2141</v>
      </c>
      <c r="B17" s="569" t="s">
        <v>2142</v>
      </c>
      <c r="C17" s="571"/>
      <c r="D17" s="572"/>
      <c r="F17" s="579" t="s">
        <v>2714</v>
      </c>
      <c r="G17" s="580"/>
      <c r="H17" s="579" t="s">
        <v>2714</v>
      </c>
      <c r="I17" s="581"/>
    </row>
    <row r="18" customFormat="false" ht="12.75" hidden="false" customHeight="false" outlineLevel="0" collapsed="false">
      <c r="A18" s="568" t="s">
        <v>1215</v>
      </c>
      <c r="B18" s="569" t="s">
        <v>1216</v>
      </c>
      <c r="C18" s="571"/>
      <c r="D18" s="572"/>
      <c r="F18" s="579" t="s">
        <v>2728</v>
      </c>
      <c r="G18" s="580"/>
      <c r="H18" s="579" t="s">
        <v>2728</v>
      </c>
      <c r="I18" s="581"/>
    </row>
    <row r="19" customFormat="false" ht="12.75" hidden="false" customHeight="false" outlineLevel="0" collapsed="false">
      <c r="A19" s="568" t="s">
        <v>1725</v>
      </c>
      <c r="B19" s="569" t="s">
        <v>1726</v>
      </c>
      <c r="C19" s="571"/>
      <c r="D19" s="572"/>
      <c r="F19" s="579" t="s">
        <v>2729</v>
      </c>
      <c r="G19" s="580"/>
      <c r="H19" s="579" t="s">
        <v>2729</v>
      </c>
      <c r="I19" s="581"/>
    </row>
    <row r="20" customFormat="false" ht="12.75" hidden="false" customHeight="false" outlineLevel="0" collapsed="false">
      <c r="A20" s="570" t="s">
        <v>1728</v>
      </c>
      <c r="B20" s="569" t="s">
        <v>1729</v>
      </c>
      <c r="C20" s="571"/>
      <c r="D20" s="572"/>
      <c r="F20" s="579" t="s">
        <v>2730</v>
      </c>
      <c r="G20" s="580"/>
      <c r="H20" s="579" t="s">
        <v>2730</v>
      </c>
      <c r="I20" s="581"/>
    </row>
    <row r="21" customFormat="false" ht="12.75" hidden="false" customHeight="false" outlineLevel="0" collapsed="false">
      <c r="A21" s="570" t="s">
        <v>1734</v>
      </c>
      <c r="B21" s="569" t="s">
        <v>1735</v>
      </c>
      <c r="C21" s="571"/>
      <c r="D21" s="572"/>
      <c r="F21" s="579" t="s">
        <v>2731</v>
      </c>
      <c r="G21" s="580"/>
      <c r="H21" s="579" t="s">
        <v>2731</v>
      </c>
      <c r="I21" s="581"/>
    </row>
    <row r="22" customFormat="false" ht="12.75" hidden="false" customHeight="false" outlineLevel="0" collapsed="false">
      <c r="A22" s="568" t="s">
        <v>1740</v>
      </c>
      <c r="B22" s="569" t="s">
        <v>1741</v>
      </c>
      <c r="C22" s="571"/>
      <c r="D22" s="572"/>
      <c r="F22" s="579" t="s">
        <v>2732</v>
      </c>
      <c r="G22" s="580"/>
      <c r="H22" s="579" t="s">
        <v>2732</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2733</v>
      </c>
      <c r="G24" s="580"/>
      <c r="H24" s="579" t="s">
        <v>2733</v>
      </c>
      <c r="I24" s="581"/>
    </row>
    <row r="25" customFormat="false" ht="12.75" hidden="false" customHeight="false" outlineLevel="0" collapsed="false">
      <c r="A25" s="568" t="s">
        <v>2147</v>
      </c>
      <c r="B25" s="569" t="s">
        <v>2148</v>
      </c>
      <c r="C25" s="571"/>
      <c r="D25" s="572"/>
      <c r="F25" s="582" t="s">
        <v>2734</v>
      </c>
      <c r="G25" s="583"/>
      <c r="H25" s="582" t="s">
        <v>2734</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2720</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2012-09-25T16:59:45Z</dcterms:modified>
  <cp:revision>0</cp:revision>
  <dc:subject/>
  <dc:title>Feuille d'aide au calcul de l'IBMR</dc:title>
</cp:coreProperties>
</file>