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rgens à Roquebrune sur Argens" sheetId="7" state="visible" r:id="rId9"/>
    <sheet name="liste codes réf" sheetId="8" state="hidden" r:id="rId10"/>
  </sheets>
  <definedNames>
    <definedName function="false" hidden="false" localSheetId="6" name="_xlnm.Print_Area" vbProcedure="false">'Argens à Roquebrune sur Argens'!$A$1:$Q$82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'Argens à Roquebrune sur Argens'!$A$1:$C$1415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<sst xmlns="http://schemas.openxmlformats.org/spreadsheetml/2006/main" count="10002" uniqueCount="3495">
  <si>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</si>
  <si>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</si>
  <si>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</si>
  <si>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</si>
  <si>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</si>
  <si>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</si>
  <si>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</si>
  <si>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</si>
  <si>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</si>
  <si>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</si>
  <si>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</si>
  <si>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</si>
  <si>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</si>
  <si>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</si>
  <si>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</si>
  <si>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</si>
  <si>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</si>
  <si>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</si>
  <si>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</si>
  <si>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</si>
  <si>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</si>
  <si>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</si>
  <si>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</si>
  <si>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</si>
  <si>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</si>
  <si>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</si>
  <si>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</si>
  <si>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</si>
  <si>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</si>
  <si>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</si>
  <si>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</si>
  <si>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</si>
  <si>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</si>
  <si>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</si>
  <si>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</si>
  <si>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</si>
  <si>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</si>
  <si>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</si>
  <si>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</si>
  <si>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</si>
  <si>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</si>
  <si>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</si>
  <si>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</si>
  <si>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</si>
  <si>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</si>
  <si>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</si>
  <si>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</si>
  <si>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</si>
  <si>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</si>
  <si>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</si>
  <si>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</si>
  <si>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</si>
  <si>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</si>
  <si>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</si>
  <si>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</si>
  <si>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</si>
  <si>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</si>
  <si>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</si>
  <si>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</si>
  <si>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</si>
  <si>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</si>
  <si>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</si>
  <si>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</si>
  <si>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</si>
  <si>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</si>
  <si>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</si>
  <si>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</si>
  <si>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</si>
  <si>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</si>
  <si>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</si>
  <si>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</si>
  <si>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</si>
  <si>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</si>
  <si>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</si>
  <si>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</si>
  <si>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</si>
  <si>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</si>
  <si>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</si>
  <si>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</si>
  <si>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</si>
  <si>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</si>
  <si>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</si>
  <si>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</si>
  <si>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</si>
  <si>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</si>
  <si>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</si>
  <si>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</si>
  <si>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</si>
  <si>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</si>
  <si>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</si>
  <si>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</si>
  <si>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</si>
  <si>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</si>
  <si>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</si>
  <si>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</si>
  <si>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</si>
  <si>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</si>
  <si>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</si>
  <si>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</si>
  <si>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</si>
  <si>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</si>
  <si>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</si>
  <si>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</si>
  <si>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</si>
  <si>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</si>
  <si>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</si>
  <si>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</si>
  <si>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</si>
  <si>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</si>
  <si>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</si>
  <si>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</si>
  <si>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</si>
  <si>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</si>
  <si>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</si>
  <si>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</si>
  <si>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</si>
  <si>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</si>
  <si>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</si>
  <si>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</si>
  <si>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</si>
  <si>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</si>
  <si>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</si>
  <si>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</si>
  <si>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</si>
  <si>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</si>
  <si>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</si>
  <si>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</si>
  <si>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</si>
  <si>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</si>
  <si>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</si>
  <si>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</si>
  <si>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</si>
  <si>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</si>
  <si>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</si>
  <si>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</si>
  <si>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</si>
  <si>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</si>
  <si>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</si>
  <si>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</si>
  <si>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</si>
  <si>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</si>
  <si>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</si>
  <si>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</si>
  <si>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</si>
  <si>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</si>
  <si>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</si>
  <si>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</si>
  <si>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</si>
  <si>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</si>
  <si>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</si>
  <si>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</si>
  <si>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</si>
  <si>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</si>
  <si>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</si>
  <si>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</si>
  <si>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</si>
  <si>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</si>
  <si>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</si>
  <si>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</si>
  <si>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</si>
  <si>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</si>
  <si>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</si>
  <si>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</si>
  <si>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</si>
  <si>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</si>
  <si>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</si>
  <si>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</si>
  <si>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</si>
  <si>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</si>
  <si>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</si>
  <si>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</si>
  <si>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</si>
  <si>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</si>
  <si>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</si>
  <si>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</si>
  <si>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</si>
  <si>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</si>
  <si>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</si>
  <si>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</si>
  <si>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</si>
  <si>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</si>
  <si>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</si>
  <si>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</si>
  <si>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</si>
  <si>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</si>
  <si>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</si>
  <si>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</si>
  <si>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</si>
  <si>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</si>
  <si>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</si>
  <si>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</si>
  <si>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</si>
  <si>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</si>
  <si>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</si>
  <si>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</si>
  <si>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</si>
  <si>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</si>
  <si>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</si>
  <si>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</si>
  <si>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</si>
  <si>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</si>
  <si>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</si>
  <si>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</si>
  <si>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</si>
  <si>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</si>
  <si>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</si>
  <si>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</si>
  <si>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</si>
  <si>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</si>
  <si>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</si>
  <si>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</si>
  <si>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</si>
  <si>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</si>
  <si>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</si>
  <si>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</si>
  <si>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</si>
  <si>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</si>
  <si>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</si>
  <si>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</si>
  <si>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</si>
  <si>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</si>
  <si>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</si>
  <si>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</si>
  <si>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</si>
  <si>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</si>
  <si>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</si>
  <si>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</si>
  <si>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</si>
  <si>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</si>
  <si>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</si>
  <si>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</si>
  <si>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</si>
  <si>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</si>
  <si>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</si>
  <si>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</si>
  <si>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</si>
  <si>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</si>
  <si>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</si>
  <si>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</si>
  <si>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</si>
  <si>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</si>
  <si>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</si>
  <si>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</si>
  <si>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</si>
  <si>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</si>
  <si>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</si>
  <si>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</si>
  <si>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</si>
  <si>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</si>
  <si>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</si>
  <si>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</si>
  <si>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</si>
  <si>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</si>
  <si>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</si>
  <si>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</si>
  <si>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</si>
  <si>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</si>
  <si>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</si>
  <si>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</si>
  <si>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</si>
  <si>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</si>
  <si>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</si>
  <si>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</si>
  <si>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</si>
  <si>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</si>
  <si>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</si>
  <si>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</si>
  <si>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</si>
  <si>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</si>
  <si>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</si>
  <si>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</si>
  <si>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</si>
  <si>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</si>
  <si>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</si>
  <si>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</si>
  <si>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</si>
  <si>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</si>
  <si>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</si>
  <si>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</si>
  <si>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</si>
  <si>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</si>
  <si>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</si>
  <si>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</si>
  <si>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</si>
  <si>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</si>
  <si>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</si>
  <si>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</si>
  <si>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</si>
  <si>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</si>
  <si>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</si>
  <si>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</si>
  <si>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</si>
  <si>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</si>
  <si>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</si>
  <si>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</si>
  <si>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</si>
  <si>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</si>
  <si>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</si>
  <si>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</si>
  <si>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</si>
  <si>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</si>
  <si>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</si>
  <si>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</si>
  <si>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</si>
  <si>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</si>
  <si>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</si>
  <si>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</si>
  <si>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</si>
  <si>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</si>
  <si>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</si>
  <si>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</si>
  <si>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</si>
  <si>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</si>
  <si>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</si>
  <si>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</si>
  <si>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</si>
  <si>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</si>
  <si>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</si>
  <si>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</si>
  <si>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</si>
  <si>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</si>
  <si>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</si>
  <si>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</si>
  <si>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</si>
  <si>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</si>
  <si>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</si>
  <si>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</si>
  <si>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</si>
  <si>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</si>
  <si>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</si>
  <si>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</si>
  <si>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</si>
  <si>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</si>
  <si>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</si>
  <si>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</si>
  <si>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</si>
  <si>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</si>
  <si>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</si>
  <si>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</si>
  <si>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</si>
  <si>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</si>
  <si>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</si>
  <si>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</si>
  <si>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</si>
  <si>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</si>
  <si>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</si>
  <si>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</si>
  <si>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</si>
  <si>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</si>
  <si>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</si>
  <si>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</si>
  <si>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</si>
  <si>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</si>
  <si>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</si>
  <si>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</si>
  <si>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</si>
  <si>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</si>
  <si>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</si>
  <si>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</si>
  <si>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</si>
  <si>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</si>
  <si>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</si>
  <si>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</si>
  <si>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</si>
  <si>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</si>
  <si>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</si>
  <si>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</si>
  <si>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</si>
  <si>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</si>
  <si>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</si>
  <si>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</si>
  <si>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</si>
  <si>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</si>
  <si>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</si>
  <si>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</si>
  <si>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</si>
  <si>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</si>
  <si>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</si>
  <si>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</si>
  <si>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</si>
  <si>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</si>
  <si>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</si>
  <si>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</si>
  <si>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</si>
  <si>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</si>
  <si>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</si>
  <si>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</si>
  <si>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</si>
  <si>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</si>
  <si>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</si>
  <si>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</si>
  <si>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</si>
  <si>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</si>
  <si>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</si>
  <si>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</si>
  <si>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</si>
  <si>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</si>
  <si>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</si>
  <si>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</si>
  <si>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</si>
  <si>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</si>
  <si>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</si>
  <si>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</si>
  <si>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</si>
  <si>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</si>
  <si>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</si>
  <si>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</si>
  <si>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</si>
  <si>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</si>
  <si>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</si>
  <si>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</si>
  <si>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</si>
  <si>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</si>
  <si>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</si>
  <si>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</si>
  <si>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</si>
  <si>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</si>
  <si>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</si>
  <si>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</si>
  <si>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</si>
  <si>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</si>
  <si>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</si>
  <si>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</si>
  <si>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</si>
  <si>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</si>
  <si>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</si>
  <si>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</si>
  <si>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</si>
  <si>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</si>
  <si>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</si>
  <si>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</si>
  <si>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</si>
  <si>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</si>
  <si>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</si>
  <si>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</si>
  <si>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</si>
  <si>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</si>
  <si>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</si>
  <si>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</si>
  <si>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</si>
  <si>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</si>
  <si>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</si>
  <si>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</si>
  <si>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</si>
  <si>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</si>
  <si>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</si>
  <si>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</si>
  <si>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</si>
  <si>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</si>
  <si>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</si>
  <si>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</si>
  <si>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</si>
  <si>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</si>
  <si>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</si>
  <si>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</si>
  <si>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</si>
  <si>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</si>
  <si>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</si>
  <si>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</si>
  <si>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</si>
  <si>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</si>
  <si>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</si>
  <si>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</si>
  <si>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</si>
  <si>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</si>
  <si>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</si>
  <si>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</si>
  <si>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</si>
  <si>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</si>
  <si>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</si>
  <si>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</si>
  <si>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</si>
  <si>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</si>
  <si>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</si>
  <si>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</si>
  <si>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</si>
  <si>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</si>
  <si>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</si>
  <si>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</si>
  <si>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</si>
  <si>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</si>
  <si>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</si>
  <si>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</si>
  <si>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</si>
  <si>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</si>
  <si>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</si>
  <si>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</si>
  <si>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</si>
  <si>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</si>
  <si>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</si>
  <si>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</si>
  <si>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</si>
  <si>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</si>
  <si>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</si>
  <si>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</si>
  <si>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</si>
  <si>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</si>
  <si>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</si>
  <si>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</si>
  <si>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</si>
  <si>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</si>
  <si>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</si>
  <si>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</si>
  <si>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</si>
  <si>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</si>
  <si>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</si>
  <si>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</si>
  <si>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</si>
  <si>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</si>
  <si>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</si>
  <si>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</si>
  <si>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</si>
  <si>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</si>
  <si>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</si>
  <si>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</si>
  <si>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</si>
  <si>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</si>
  <si>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</si>
  <si>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</si>
  <si>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</si>
  <si>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</si>
  <si>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</si>
  <si>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</si>
  <si>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</si>
  <si>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</si>
  <si>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</si>
  <si>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</si>
  <si>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</si>
  <si>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</si>
  <si>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</si>
  <si>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</si>
  <si>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</si>
  <si>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</si>
  <si>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</si>
  <si>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</si>
  <si>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</si>
  <si>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</si>
  <si>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</si>
  <si>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</si>
  <si>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</si>
  <si>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</si>
  <si>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</si>
  <si>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</si>
  <si>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</si>
  <si>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</si>
  <si>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</si>
  <si>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</si>
  <si>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</si>
  <si>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</si>
  <si>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</si>
  <si>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</si>
  <si>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</si>
  <si>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</si>
  <si>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</si>
  <si>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</si>
  <si>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</si>
  <si>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</si>
  <si>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</si>
  <si>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</si>
  <si>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</si>
  <si>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</si>
  <si>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</si>
  <si>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</si>
  <si>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</si>
  <si>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</si>
  <si>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</si>
  <si>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</si>
  <si>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</si>
  <si>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</si>
  <si>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</si>
  <si>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</si>
  <si>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</si>
  <si>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</si>
  <si>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</si>
  <si>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</si>
  <si>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</si>
  <si>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</si>
  <si>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</si>
  <si>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</si>
  <si>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</si>
  <si>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</si>
  <si>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</si>
  <si>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</si>
  <si>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</si>
  <si>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</si>
  <si>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</si>
  <si>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</si>
  <si>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</si>
  <si>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</si>
  <si>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</si>
  <si>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</si>
  <si>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</si>
  <si>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</si>
  <si>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</si>
  <si>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</si>
  <si>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</si>
  <si>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</si>
  <si>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</si>
  <si>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</si>
  <si>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</si>
  <si>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</si>
  <si>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</si>
  <si>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</si>
  <si>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</si>
  <si>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</si>
  <si>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</si>
  <si>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</si>
  <si>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</si>
  <si>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</si>
  <si>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</si>
  <si>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</si>
  <si>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</si>
  <si>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</si>
  <si>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</si>
  <si>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</si>
  <si>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</si>
  <si>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</si>
  <si>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</si>
  <si>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</si>
  <si>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</si>
  <si>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</si>
  <si>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</si>
  <si>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</si>
  <si>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</si>
  <si>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</si>
  <si>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</si>
  <si>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</si>
  <si>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</si>
  <si>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</si>
  <si>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</si>
  <si>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</si>
  <si>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</si>
  <si>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</si>
  <si>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</si>
  <si>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</si>
  <si>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</si>
  <si>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</si>
  <si>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</si>
  <si>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</si>
  <si>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</si>
  <si>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</si>
  <si>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</si>
  <si>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</si>
  <si>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</si>
  <si>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</si>
  <si>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</si>
  <si>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</si>
  <si>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</si>
  <si>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</si>
  <si>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</si>
  <si>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</si>
  <si>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</si>
  <si>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</si>
  <si>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</si>
  <si>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</si>
  <si>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</si>
  <si>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</si>
  <si>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</si>
  <si>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</si>
  <si>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</si>
  <si>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</si>
  <si>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</si>
  <si>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</si>
  <si>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</si>
  <si>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</si>
  <si>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</si>
  <si>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</si>
  <si>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</si>
  <si>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</si>
  <si>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</si>
  <si>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</si>
  <si>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</si>
  <si>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</si>
  <si>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</si>
  <si>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</si>
  <si>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</si>
  <si>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</si>
  <si>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</si>
  <si>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</si>
  <si>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</si>
  <si>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</si>
  <si>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</si>
  <si>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</si>
  <si>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</si>
  <si>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</si>
  <si>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</si>
  <si>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</si>
  <si>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</si>
  <si>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</si>
  <si>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</si>
  <si>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</si>
  <si>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</si>
  <si>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</si>
  <si>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</si>
  <si>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</si>
  <si>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</si>
  <si>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</si>
  <si>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</si>
  <si>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</si>
  <si>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</si>
  <si>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</si>
  <si>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</si>
  <si>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</si>
  <si>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</si>
  <si>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</si>
  <si>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</si>
  <si>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</si>
  <si>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</si>
  <si>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</si>
  <si>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</si>
  <si>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</si>
  <si>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</si>
  <si>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</si>
  <si>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</si>
  <si>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</si>
  <si>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</si>
  <si>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</si>
  <si>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</si>
  <si>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</si>
  <si>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</si>
  <si>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</si>
  <si>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</si>
  <si>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</si>
  <si>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</si>
  <si>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</si>
  <si>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</si>
  <si>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</si>
  <si>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</si>
  <si>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</si>
  <si>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</si>
  <si>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</si>
  <si>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</si>
  <si>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</si>
  <si>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</si>
  <si>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</si>
  <si>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</si>
  <si>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</si>
  <si>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</si>
  <si>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</si>
  <si>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</si>
  <si>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</si>
  <si>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</si>
  <si>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</si>
  <si>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</si>
  <si>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</si>
  <si>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</si>
  <si>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</si>
  <si>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</si>
  <si>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</si>
  <si>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</si>
  <si>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</si>
  <si>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</si>
  <si>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</si>
  <si>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</si>
  <si>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</si>
  <si>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</si>
  <si>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</si>
  <si>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</si>
  <si>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</si>
  <si>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</si>
  <si>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</si>
  <si>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</si>
  <si>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</si>
  <si>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</si>
  <si>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</si>
  <si>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</si>
  <si>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</si>
  <si>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</si>
  <si>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</si>
  <si>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</si>
  <si>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</si>
  <si>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</si>
  <si>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</si>
  <si>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</si>
  <si>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</si>
  <si>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</si>
  <si>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</si>
  <si>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</si>
  <si>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</si>
  <si>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</si>
  <si>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</si>
  <si>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</si>
  <si>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</si>
  <si>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</si>
  <si>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</si>
  <si>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</si>
  <si>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</si>
  <si>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</si>
  <si>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</si>
  <si>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</si>
  <si>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</si>
  <si>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</si>
  <si>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</si>
  <si>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</si>
  <si>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</si>
  <si>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</si>
  <si>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</si>
  <si>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</si>
  <si>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</si>
  <si>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</si>
  <si>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</si>
  <si>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</si>
  <si>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</si>
  <si>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</si>
  <si>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</si>
  <si>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</si>
  <si>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</si>
  <si>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</si>
  <si>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</si>
  <si>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</si>
  <si>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</si>
  <si>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</si>
  <si>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</si>
  <si>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</si>
  <si>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</si>
  <si>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</si>
  <si>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</si>
  <si>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</si>
  <si>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</si>
  <si>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</si>
  <si>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</si>
  <si>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</si>
  <si>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</si>
  <si>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</si>
  <si>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</si>
  <si>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</si>
  <si>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</si>
  <si>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</si>
  <si>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</si>
  <si>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</si>
  <si>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</si>
  <si>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</si>
  <si>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</si>
  <si>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</si>
  <si>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</si>
  <si>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</si>
  <si>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</si>
  <si>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</si>
  <si>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</si>
  <si>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</si>
  <si>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</si>
  <si>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</si>
  <si>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</si>
  <si>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</si>
  <si>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</si>
  <si>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</si>
  <si>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</si>
  <si>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</si>
  <si>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</si>
  <si>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</si>
  <si>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</si>
  <si>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</si>
  <si>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</si>
  <si>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</si>
  <si>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</si>
  <si>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</si>
  <si>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</si>
  <si>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</si>
  <si>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</si>
  <si>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</si>
  <si>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</si>
  <si>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</si>
  <si>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</si>
  <si>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</si>
  <si>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</si>
  <si>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</si>
  <si>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</si>
  <si>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</si>
  <si>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</si>
  <si>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</si>
  <si>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</si>
  <si>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</si>
  <si>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</si>
  <si>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</si>
  <si>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</si>
  <si>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</si>
  <si>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</si>
  <si>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</si>
  <si>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</si>
  <si>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</si>
  <si>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</si>
  <si>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</si>
  <si>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</si>
  <si>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</si>
  <si>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</si>
  <si>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</si>
  <si>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</si>
  <si>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</si>
  <si>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</si>
  <si>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</si>
  <si>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</si>
  <si>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</si>
  <si>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</si>
  <si>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</si>
  <si>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</si>
  <si>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</si>
  <si>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</si>
  <si>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</si>
  <si>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</si>
  <si>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</si>
  <si>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</si>
  <si>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</si>
  <si>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</si>
  <si>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</si>
  <si>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</si>
  <si>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</si>
  <si>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</si>
  <si>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</si>
  <si>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</si>
  <si>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</si>
  <si>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</si>
  <si>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</si>
  <si>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</si>
  <si>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</si>
  <si>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</si>
  <si>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</si>
  <si>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</si>
  <si>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</si>
  <si>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</si>
  <si>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</si>
  <si>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</si>
  <si>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</si>
  <si>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</si>
  <si>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</si>
  <si>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</si>
  <si>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</si>
  <si>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</si>
  <si>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</si>
  <si>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</si>
  <si>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</si>
  <si>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</si>
  <si>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</si>
  <si>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</si>
  <si>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</si>
  <si>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</si>
  <si>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</si>
  <si>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</si>
  <si>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</si>
  <si>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</si>
  <si>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</si>
  <si>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</si>
  <si>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</si>
  <si>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</si>
  <si>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</si>
  <si>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</si>
  <si>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</si>
  <si>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</si>
  <si>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</si>
  <si>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</si>
  <si>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</si>
  <si>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</si>
  <si>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</si>
  <si>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</si>
  <si>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</si>
  <si>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</si>
  <si>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</si>
  <si>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</si>
  <si>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</si>
  <si>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</si>
  <si>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</si>
  <si>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</si>
  <si>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</si>
  <si>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</si>
  <si>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</si>
  <si>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</si>
  <si>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</si>
  <si>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</si>
  <si>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</si>
  <si>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</si>
  <si>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</si>
  <si>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</si>
  <si>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</si>
  <si>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</si>
  <si>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</si>
  <si>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</si>
  <si>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</si>
  <si>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</si>
  <si>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</si>
  <si>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</si>
  <si>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</si>
  <si>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</si>
  <si>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</si>
  <si>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</si>
  <si>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</si>
  <si>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</si>
  <si>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</si>
  <si>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</si>
  <si>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</si>
  <si>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</si>
  <si>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</si>
  <si>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</si>
  <si>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</si>
  <si>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</si>
  <si>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</si>
  <si>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</si>
  <si>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</si>
  <si>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</si>
  <si>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</si>
  <si>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</si>
  <si>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</si>
  <si>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</si>
  <si>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</si>
  <si>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</si>
  <si>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</si>
  <si>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</si>
  <si>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</si>
  <si>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</si>
  <si>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</si>
  <si>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</si>
  <si>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</si>
  <si>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</si>
  <si>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</si>
  <si>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</si>
  <si>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</si>
  <si>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</si>
  <si>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</si>
  <si>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</si>
  <si>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</si>
  <si>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</si>
  <si>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</si>
  <si>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</si>
  <si>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</si>
  <si>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</si>
  <si>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</si>
  <si>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</si>
  <si>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</si>
  <si>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</si>
  <si>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</si>
  <si>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</si>
  <si>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</si>
  <si>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</si>
  <si>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</si>
  <si>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</si>
  <si>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</si>
  <si>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</si>
  <si>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</si>
  <si>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</si>
  <si>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</si>
  <si>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</si>
  <si>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</si>
  <si>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</si>
  <si>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</si>
  <si>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</si>
  <si>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</si>
  <si>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</si>
  <si>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</si>
  <si>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</si>
  <si>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</si>
  <si>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</si>
  <si>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</si>
  <si>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</si>
  <si>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</si>
  <si>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</si>
  <si>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</si>
  <si>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</si>
  <si>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</si>
  <si>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</si>
  <si>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</si>
  <si>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</si>
  <si>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</si>
  <si>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</si>
  <si>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</si>
  <si>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</si>
  <si>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</si>
  <si>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</si>
  <si>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</si>
  <si>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</si>
  <si>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</si>
  <si>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</si>
  <si>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</si>
  <si>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</si>
  <si>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</si>
  <si>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</si>
  <si>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</si>
  <si>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</si>
  <si>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</si>
  <si>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</si>
  <si>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</si>
  <si>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</si>
  <si>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</si>
  <si>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</si>
  <si>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</si>
  <si>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</si>
  <si>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</si>
  <si>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</si>
  <si>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</si>
  <si>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</si>
  <si>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</si>
  <si>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</si>
  <si>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</si>
  <si>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</si>
  <si>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</si>
  <si>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</si>
  <si>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</si>
  <si>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</si>
  <si>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</si>
  <si>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</si>
  <si>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</si>
  <si>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</si>
  <si>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</si>
  <si>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</si>
  <si>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</si>
  <si>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</si>
  <si>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</si>
  <si>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</si>
  <si>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</si>
  <si>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</si>
  <si>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</si>
  <si>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</si>
  <si>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</si>
  <si>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</si>
  <si>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</si>
  <si>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</si>
  <si>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</si>
  <si>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</si>
  <si>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</si>
  <si>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</si>
  <si>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</si>
  <si>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</si>
  <si>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</si>
  <si>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</si>
  <si>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</si>
  <si>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</si>
  <si>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</si>
  <si>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</si>
  <si>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</si>
  <si>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</si>
  <si>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</si>
  <si>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</si>
  <si>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</si>
  <si>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</si>
  <si>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</si>
  <si>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</si>
  <si>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</si>
  <si>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</si>
  <si>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</si>
  <si>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</si>
  <si>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</si>
  <si>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</si>
  <si>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</si>
  <si>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</si>
  <si>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</si>
  <si>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</si>
  <si>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</si>
  <si>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</si>
  <si>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</si>
  <si>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</si>
  <si>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</si>
  <si>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</si>
  <si>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</si>
  <si>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</si>
  <si>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</si>
  <si>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</si>
  <si>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</si>
  <si>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</si>
  <si>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</si>
  <si>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</si>
  <si>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</si>
  <si>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</si>
  <si>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</si>
  <si>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</si>
  <si>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</si>
  <si>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</si>
  <si>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</si>
  <si>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</si>
  <si>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</si>
  <si>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</si>
  <si>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</si>
  <si>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</si>
  <si>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</si>
  <si>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</si>
  <si>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</si>
  <si>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</si>
  <si>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</si>
  <si>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</si>
  <si>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</si>
  <si>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</si>
  <si>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</si>
  <si>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</si>
  <si>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</si>
  <si>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</si>
  <si>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</si>
  <si>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</si>
  <si>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</si>
  <si>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</si>
  <si>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</si>
  <si>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</si>
  <si>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</si>
  <si>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</si>
  <si>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</si>
  <si>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</si>
  <si>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</si>
  <si>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</si>
  <si>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</si>
  <si>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</si>
  <si>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</si>
  <si>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</si>
  <si>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</si>
  <si>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</si>
  <si>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</si>
  <si>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</si>
  <si>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</si>
  <si>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</si>
  <si>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</si>
  <si>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</si>
  <si>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</si>
  <si>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</si>
  <si>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</si>
  <si>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</si>
  <si>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</si>
  <si>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</si>
  <si>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</si>
  <si>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</si>
  <si>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</si>
  <si>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</si>
  <si>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</si>
  <si>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</si>
  <si>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</si>
  <si>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</si>
  <si>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</si>
  <si>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</si>
  <si>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</si>
  <si>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</si>
  <si>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</si>
  <si>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</si>
  <si>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</si>
  <si>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</si>
  <si>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</si>
  <si>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</si>
  <si>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</si>
  <si>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</si>
  <si>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</si>
  <si>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</si>
  <si>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</si>
  <si>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</si>
  <si>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</si>
  <si>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</si>
  <si>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</si>
  <si>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</si>
  <si>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</si>
  <si>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</si>
  <si>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</si>
  <si>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</si>
  <si>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</si>
  <si>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</si>
  <si>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</si>
  <si>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</si>
  <si>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</si>
  <si>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</si>
  <si>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</si>
  <si>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</si>
  <si>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</si>
  <si>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</si>
  <si>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</si>
  <si>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</si>
  <si>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</si>
  <si>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</si>
  <si>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</si>
  <si>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</si>
  <si>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</si>
  <si>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</si>
  <si>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</si>
  <si>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</si>
  <si>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</si>
  <si>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</si>
  <si>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</si>
  <si>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</si>
  <si>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</si>
  <si>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</si>
  <si>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</si>
  <si>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</si>
  <si>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</si>
  <si>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</si>
  <si>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</si>
  <si>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</si>
  <si>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</si>
  <si>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</si>
  <si>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</si>
  <si>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</si>
  <si>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</si>
  <si>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</si>
  <si>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</si>
  <si>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</si>
  <si>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</si>
  <si>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</si>
  <si>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</si>
  <si>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</si>
  <si>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</si>
  <si>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</si>
  <si>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</si>
  <si>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</si>
  <si>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</si>
  <si>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</si>
  <si>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</si>
  <si>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</si>
  <si>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</si>
  <si>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</si>
  <si>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</si>
  <si>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</si>
  <si>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</si>
  <si>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</si>
  <si>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</si>
  <si>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</si>
  <si>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</si>
  <si>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</si>
  <si>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</si>
  <si>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</si>
  <si>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</si>
  <si>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</si>
  <si>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</si>
  <si>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</si>
  <si>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</si>
  <si>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</si>
  <si>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</si>
  <si>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</si>
  <si>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</si>
  <si>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</si>
  <si>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</si>
  <si>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</si>
  <si>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</si>
  <si>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</si>
  <si>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</si>
  <si>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</si>
  <si>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</si>
  <si>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</si>
  <si>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</si>
  <si>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</si>
  <si>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</si>
  <si>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</si>
  <si>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</si>
  <si>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</si>
  <si>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</si>
  <si>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</si>
  <si>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</si>
  <si>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</si>
  <si>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</si>
  <si>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</si>
  <si>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</si>
  <si>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</si>
  <si>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</si>
  <si>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</si>
  <si>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</si>
  <si>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</si>
  <si>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</si>
  <si>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</si>
  <si>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</si>
  <si>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</si>
  <si>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</si>
  <si>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</si>
  <si>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</si>
  <si>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</si>
  <si>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</si>
  <si>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</si>
  <si>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</si>
  <si>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</si>
  <si>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</si>
  <si>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</si>
  <si>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</si>
  <si>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</si>
  <si>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</si>
  <si>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</si>
  <si>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</si>
  <si>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</si>
  <si>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</si>
  <si>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</si>
  <si>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</si>
  <si>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</si>
  <si>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</si>
  <si>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</si>
  <si>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</si>
  <si>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</si>
  <si>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</si>
  <si>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</si>
  <si>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</si>
  <si>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</si>
  <si>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</si>
  <si>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</si>
  <si>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</si>
  <si>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</si>
  <si>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</si>
  <si>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</si>
  <si>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</si>
  <si>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</si>
  <si>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</si>
  <si>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</si>
  <si>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</si>
  <si>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</si>
  <si>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</si>
  <si>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</si>
  <si>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</si>
  <si>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</si>
  <si>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</si>
  <si>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</si>
  <si>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</si>
  <si>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</si>
  <si>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</si>
  <si>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</si>
  <si>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</si>
  <si>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</si>
  <si>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</si>
  <si>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</si>
  <si>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</si>
  <si>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</si>
  <si>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</si>
  <si>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</si>
  <si>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</si>
  <si>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</si>
  <si>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</si>
  <si>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</si>
  <si>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</si>
  <si>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</si>
  <si>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</si>
  <si>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</si>
  <si>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</si>
  <si>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</si>
  <si>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</si>
  <si>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</si>
  <si>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</si>
  <si>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</si>
  <si>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</si>
  <si>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</si>
  <si>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</si>
  <si>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</si>
  <si>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</si>
  <si>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</si>
  <si>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</si>
  <si>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</si>
  <si>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</si>
  <si>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</si>
  <si>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</si>
  <si>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</si>
  <si>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</si>
  <si>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</si>
  <si>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</si>
  <si>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</si>
  <si>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</si>
  <si>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</si>
  <si>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</si>
  <si>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</si>
  <si>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</si>
  <si>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</si>
  <si>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</si>
  <si>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</si>
  <si>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</si>
  <si>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</si>
  <si>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</si>
  <si>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</si>
  <si>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</si>
  <si>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</si>
  <si>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</si>
  <si>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</si>
  <si>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</si>
  <si>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</si>
  <si>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</si>
  <si>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</si>
  <si>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</si>
  <si>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</si>
  <si>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</si>
  <si>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</si>
  <si>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</si>
  <si>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</si>
  <si>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</si>
  <si>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</si>
  <si>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</si>
  <si>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</si>
  <si>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</si>
  <si>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</si>
  <si>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</si>
  <si>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</si>
  <si>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</si>
  <si>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</si>
  <si>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</si>
  <si>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</si>
  <si>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</si>
  <si>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</si>
  <si>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</si>
  <si>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</si>
  <si>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</si>
  <si>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</si>
  <si>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</si>
  <si>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</si>
  <si>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</si>
  <si>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</si>
  <si>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</si>
  <si>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</si>
  <si>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</si>
  <si>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</si>
  <si>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</si>
  <si>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</si>
  <si>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</si>
  <si>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</si>
  <si>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</si>
  <si>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</si>
  <si>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</si>
  <si>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</si>
  <si>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</si>
  <si>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</si>
  <si>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</si>
  <si>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</si>
  <si>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</si>
  <si>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</si>
  <si>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</si>
  <si>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</si>
  <si>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</si>
  <si>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</si>
  <si>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</si>
  <si>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</si>
  <si>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</si>
  <si>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</si>
  <si>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</si>
  <si>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</si>
  <si>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</si>
  <si>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</si>
  <si>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</si>
  <si>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</si>
  <si>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</si>
  <si>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</si>
  <si>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</si>
  <si>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</si>
  <si>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</si>
  <si>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</si>
  <si>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</si>
  <si>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</si>
  <si>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</si>
  <si>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</si>
  <si>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</si>
  <si>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</si>
  <si>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</si>
  <si>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</si>
  <si>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</si>
  <si>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</si>
  <si>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</si>
  <si>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</si>
  <si>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</si>
  <si>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</si>
  <si>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</si>
  <si>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</si>
  <si>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</si>
  <si>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</si>
  <si>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</si>
  <si>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</si>
  <si>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</si>
  <si>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</si>
  <si>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</si>
  <si>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</si>
  <si>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</si>
  <si>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</si>
  <si>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</si>
  <si>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</si>
  <si>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</si>
  <si>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</si>
  <si>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</si>
  <si>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</si>
  <si>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</si>
  <si>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</si>
  <si>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</si>
  <si>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</si>
  <si>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</si>
  <si>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</si>
  <si>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</si>
  <si>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</si>
  <si>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</si>
  <si>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</si>
  <si>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</si>
  <si>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</si>
  <si>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</si>
  <si>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</si>
  <si>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</si>
  <si>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</si>
  <si>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</si>
  <si>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</si>
  <si>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</si>
  <si>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</si>
  <si>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</si>
  <si>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</si>
  <si>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</si>
  <si>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</si>
  <si>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</si>
  <si>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</si>
  <si>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</si>
  <si>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</si>
  <si>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</si>
  <si>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</si>
  <si>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</si>
  <si>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</si>
  <si>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</si>
  <si>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</si>
  <si>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</si>
  <si>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</si>
  <si>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</si>
  <si>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</si>
  <si>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</si>
  <si>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</si>
  <si>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</si>
  <si>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</si>
  <si>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</si>
  <si>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</si>
  <si>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</si>
  <si>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</si>
  <si>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</si>
  <si>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</si>
  <si>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</si>
  <si>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</si>
  <si>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</si>
  <si>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</si>
  <si>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</si>
  <si>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</si>
  <si>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</si>
  <si>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</si>
  <si>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</si>
  <si>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</si>
  <si>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</si>
  <si>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</si>
  <si>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</si>
  <si>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</si>
  <si>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</si>
  <si>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</si>
  <si>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</si>
  <si>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</si>
  <si>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</si>
  <si>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</si>
  <si>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</si>
  <si>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</si>
  <si>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</si>
  <si>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</si>
  <si>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</si>
  <si>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</si>
  <si>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</si>
  <si>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</si>
  <si>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</si>
  <si>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</si>
  <si>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</si>
  <si>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</si>
  <si>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</si>
  <si>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</si>
  <si>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</si>
  <si>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</si>
  <si>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</si>
  <si>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</si>
  <si>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</si>
  <si>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</si>
  <si>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</si>
  <si>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</si>
  <si>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</si>
  <si>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</si>
  <si>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</si>
  <si>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</si>
  <si>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</si>
  <si>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</si>
  <si>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</si>
  <si>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</si>
  <si>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</si>
  <si>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</si>
  <si>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</si>
  <si>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</si>
  <si>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</si>
  <si>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</si>
  <si>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</si>
  <si>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</si>
  <si>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</si>
  <si>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</si>
  <si>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</si>
  <si>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</si>
  <si>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</si>
  <si>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</si>
  <si>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</si>
  <si>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</si>
  <si>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</si>
  <si>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</si>
  <si>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</si>
  <si>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</si>
  <si>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</si>
  <si>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</si>
  <si>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</si>
  <si>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</si>
  <si>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</si>
  <si>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</si>
  <si>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</si>
  <si>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</si>
  <si>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</si>
  <si>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</si>
  <si>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</si>
  <si>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</si>
  <si>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</si>
  <si>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</si>
  <si>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</si>
  <si>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</si>
  <si>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</si>
  <si>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</si>
  <si>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</si>
  <si>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</si>
  <si>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</si>
  <si>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</si>
  <si>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</si>
  <si>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</si>
  <si>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</si>
  <si>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</si>
  <si>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</si>
  <si>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</si>
  <si>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</si>
  <si>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</si>
  <si>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</si>
  <si>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</si>
  <si>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</si>
  <si>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</si>
  <si>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</si>
  <si>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</si>
  <si>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</si>
  <si>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</si>
  <si>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</si>
  <si>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</si>
  <si>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</si>
  <si>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</si>
  <si>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</si>
  <si>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</si>
  <si>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</si>
  <si>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</si>
  <si>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</si>
  <si>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</si>
  <si>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</si>
  <si>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</si>
  <si>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</si>
  <si>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</si>
  <si>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</si>
  <si>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</si>
  <si>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</si>
  <si>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</si>
  <si>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</si>
  <si>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</si>
  <si>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</si>
  <si>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</si>
  <si>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</si>
  <si>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</si>
  <si>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</si>
  <si>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</si>
  <si>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</si>
  <si>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</si>
  <si>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</si>
  <si>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</si>
  <si>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</si>
  <si>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</si>
  <si>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</si>
  <si>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</si>
  <si>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</si>
  <si>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</si>
  <si>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</si>
  <si>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</si>
  <si>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</si>
  <si>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</si>
  <si>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</si>
  <si>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</si>
  <si>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</si>
  <si>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</si>
  <si>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</si>
  <si>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</si>
  <si>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</si>
  <si>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</si>
  <si>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</si>
  <si>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</si>
  <si>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</si>
  <si>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</si>
  <si>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</si>
  <si>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</si>
  <si>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</si>
  <si>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</si>
  <si>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</si>
  <si>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</si>
  <si>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</si>
  <si>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</si>
  <si>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</si>
  <si>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</si>
  <si>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</si>
  <si>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</si>
  <si>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</si>
  <si>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</si>
  <si>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</si>
  <si>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</si>
  <si>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</si>
  <si>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</si>
  <si>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</si>
  <si>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</si>
  <si>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</si>
  <si>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</si>
  <si>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</si>
  <si>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</si>
  <si>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</si>
  <si>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</si>
  <si>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</si>
  <si>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</si>
  <si>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</si>
  <si>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</si>
  <si>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</si>
  <si>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</si>
  <si>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</si>
  <si>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</si>
  <si>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</si>
  <si>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</si>
  <si>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</si>
  <si>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</si>
  <si>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</si>
  <si>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</si>
  <si>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</si>
  <si>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</si>
  <si>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</si>
  <si>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</si>
  <si>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</si>
  <si>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</si>
  <si>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</si>
  <si>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</si>
  <si>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</si>
  <si>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</si>
  <si>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</si>
  <si>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</si>
  <si>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</si>
  <si>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</si>
  <si>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</si>
  <si>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</si>
  <si>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</si>
  <si>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</si>
  <si>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</si>
  <si>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</si>
  <si>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</si>
  <si>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</si>
  <si>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</si>
  <si>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</si>
  <si>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</si>
  <si>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</si>
  <si>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</si>
  <si>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</si>
  <si>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</si>
  <si>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</si>
  <si>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</si>
  <si>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</si>
  <si>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</si>
  <si>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</si>
  <si>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</si>
  <si>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</si>
  <si>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</si>
  <si>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</si>
  <si>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</si>
  <si>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</si>
  <si>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</si>
  <si>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</si>
  <si>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</si>
  <si>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</si>
  <si>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</si>
  <si>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</si>
  <si>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</si>
  <si>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</si>
  <si>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</si>
  <si>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</si>
  <si>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</si>
  <si>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</si>
  <si>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</si>
  <si>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</si>
  <si>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</si>
  <si>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</si>
  <si>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</si>
  <si>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</si>
  <si>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</si>
  <si>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</si>
  <si>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</si>
  <si>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</si>
  <si>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</si>
  <si>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</si>
  <si>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</si>
  <si>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</si>
  <si>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</si>
  <si>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</si>
  <si>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</si>
  <si>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</si>
  <si>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</si>
  <si>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</si>
  <si>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</si>
  <si>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</si>
  <si>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</si>
  <si>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</si>
  <si>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</si>
  <si>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</si>
  <si>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</si>
  <si>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</si>
  <si>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</si>
  <si>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</si>
  <si>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</si>
  <si>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</si>
  <si>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</si>
  <si>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</si>
  <si>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</si>
  <si>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</si>
  <si>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</si>
  <si>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</si>
  <si>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</si>
  <si>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</si>
  <si>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</si>
  <si>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</si>
  <si>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</si>
  <si>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</si>
  <si>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</si>
  <si>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</si>
  <si>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</si>
  <si>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</si>
  <si>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</si>
  <si>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</si>
  <si>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</si>
  <si>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</si>
  <si>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</si>
  <si>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</si>
  <si>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</si>
  <si>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</si>
  <si>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</si>
  <si>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</si>
  <si>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</si>
  <si>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</si>
  <si>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</si>
  <si>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</si>
  <si>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</si>
  <si>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</si>
  <si>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</si>
  <si>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</si>
  <si>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</si>
  <si>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</si>
  <si>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</si>
  <si>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</si>
  <si>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</si>
  <si>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</si>
  <si>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</si>
  <si>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</si>
  <si>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</si>
  <si>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</si>
  <si>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</si>
  <si>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</si>
  <si>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</si>
  <si>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</si>
  <si>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</si>
  <si>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</si>
  <si>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</si>
  <si>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</si>
  <si>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</si>
  <si>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</si>
  <si>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</si>
  <si>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</si>
  <si>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</si>
  <si>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</si>
  <si>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</si>
  <si>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</si>
  <si>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</si>
  <si>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</si>
  <si>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</si>
  <si>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</si>
  <si>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</si>
  <si>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</si>
  <si>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</si>
  <si>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</si>
  <si>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</si>
  <si>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</si>
  <si>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</si>
  <si>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</si>
  <si>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</si>
  <si>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</si>
  <si>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</si>
  <si>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</si>
  <si>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</si>
  <si>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</si>
  <si>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</si>
  <si>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</si>
  <si>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</si>
  <si>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</si>
  <si>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</si>
  <si>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</si>
  <si>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</si>
  <si>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</si>
  <si>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</si>
  <si>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</si>
  <si>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</si>
  <si>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</si>
  <si>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</si>
  <si>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</si>
  <si>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</si>
  <si>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</si>
  <si>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</si>
  <si>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</si>
  <si>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</si>
  <si>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</si>
  <si>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</si>
  <si>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</si>
  <si>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</si>
  <si>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</si>
  <si>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</si>
  <si>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</si>
  <si>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</si>
  <si>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</si>
  <si>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</si>
  <si>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</si>
  <si>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</si>
  <si>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</si>
  <si>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</si>
  <si>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</si>
  <si>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</si>
  <si>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</si>
  <si>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</si>
  <si>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</si>
  <si>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</si>
  <si>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</si>
  <si>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</si>
  <si>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</si>
  <si>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</si>
  <si>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</si>
  <si>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</si>
  <si>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</si>
  <si>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</si>
  <si>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</si>
  <si>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</si>
  <si>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</si>
  <si>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</si>
  <si>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</si>
  <si>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</si>
  <si>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</si>
  <si>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</si>
  <si>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</si>
  <si>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</si>
  <si>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</si>
  <si>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</si>
  <si>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</si>
  <si>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</si>
  <si>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</si>
  <si>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</si>
  <si>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</si>
  <si>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</si>
  <si>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</si>
  <si>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</si>
  <si>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</si>
  <si>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</si>
  <si>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</si>
  <si>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</si>
  <si>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</si>
  <si>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</si>
  <si>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</si>
  <si>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</si>
  <si>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</si>
  <si>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</si>
  <si>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</si>
  <si>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</si>
  <si>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</si>
  <si>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</si>
  <si>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</si>
  <si>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</si>
  <si>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</si>
  <si>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</si>
  <si>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</si>
  <si>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</si>
  <si>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</si>
  <si>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</si>
  <si>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</si>
  <si>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</si>
  <si>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</si>
  <si>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</si>
  <si>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</si>
  <si>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</si>
  <si>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</si>
  <si>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</si>
  <si>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</si>
  <si>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</si>
  <si>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</si>
  <si>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</si>
  <si>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</si>
  <si>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</si>
  <si>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</si>
  <si>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</si>
  <si>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</si>
  <si>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</si>
  <si>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</si>
  <si>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</si>
  <si>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</si>
  <si>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</si>
  <si>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</si>
  <si>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</si>
  <si>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</si>
  <si>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</si>
  <si>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</si>
  <si>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</si>
  <si>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</si>
  <si>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</si>
  <si>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</si>
  <si>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</si>
  <si>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</si>
  <si>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</si>
  <si>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</si>
  <si>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</si>
  <si>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</si>
  <si>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</si>
  <si>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</si>
  <si>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</si>
  <si>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</si>
  <si>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</si>
  <si>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</si>
  <si>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</si>
  <si>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</si>
  <si>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</si>
  <si>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</si>
  <si>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</si>
  <si>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</si>
  <si>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</si>
  <si>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</si>
  <si>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</si>
  <si>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</si>
  <si>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</si>
  <si>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</si>
  <si>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</si>
  <si>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</si>
  <si>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</si>
  <si>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</si>
  <si>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</si>
  <si>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</si>
  <si>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</si>
  <si>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</si>
  <si>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</si>
  <si>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</si>
  <si>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</si>
  <si>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</si>
  <si>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</si>
  <si>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</si>
  <si>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</si>
  <si>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</si>
  <si>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</si>
  <si>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</si>
  <si>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</si>
  <si>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</si>
  <si>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</si>
  <si>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</si>
  <si>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</si>
  <si>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</si>
  <si>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</si>
  <si>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</si>
  <si>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</si>
  <si>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</si>
  <si>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</si>
  <si>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</si>
  <si>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</si>
  <si>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</si>
  <si>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</si>
  <si>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</si>
  <si>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</si>
  <si>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</si>
  <si>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</si>
  <si>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</si>
  <si>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</si>
  <si>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</si>
  <si>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</si>
  <si>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</si>
  <si>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</si>
  <si>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</si>
  <si>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</si>
  <si>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</si>
  <si>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</si>
  <si>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</si>
  <si>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</si>
  <si>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</si>
  <si>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</si>
  <si>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</si>
  <si>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</si>
  <si>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</si>
  <si>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</si>
  <si>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</si>
  <si>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</si>
  <si>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</si>
  <si>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</si>
  <si>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</si>
  <si>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</si>
  <si>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</si>
  <si>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</si>
  <si>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</si>
  <si>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</si>
  <si>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</si>
  <si>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</si>
  <si>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</si>
  <si>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</si>
  <si>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</si>
  <si>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</si>
  <si>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</si>
  <si>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</si>
  <si>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</si>
  <si>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</si>
  <si>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</si>
  <si>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</si>
  <si>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</si>
  <si>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</si>
  <si>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</si>
  <si>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</si>
  <si>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</si>
  <si>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</si>
  <si>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</si>
  <si>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</si>
  <si>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</si>
  <si>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</si>
  <si>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</si>
  <si>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</si>
  <si>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</si>
  <si>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</si>
  <si>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</si>
  <si>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</si>
  <si>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</si>
  <si>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</si>
  <si>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</si>
  <si>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</si>
  <si>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</si>
  <si>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</si>
  <si>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</si>
  <si>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</si>
  <si>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</si>
  <si>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</si>
  <si>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</si>
  <si>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</si>
  <si>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</si>
  <si>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</si>
  <si>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</si>
  <si>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</si>
  <si>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</si>
  <si>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</si>
  <si>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</si>
  <si>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</si>
  <si>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</si>
  <si>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</si>
  <si>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</si>
  <si>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</si>
  <si>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</si>
  <si>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</si>
  <si>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</si>
  <si>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</si>
  <si>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</si>
  <si>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</si>
  <si>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</si>
  <si>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</si>
  <si>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</si>
  <si>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</si>
  <si>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</si>
  <si>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</si>
  <si>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</si>
  <si>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</si>
  <si>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</si>
  <si>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</si>
  <si>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</si>
  <si>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</si>
  <si>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</si>
  <si>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</si>
  <si>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</si>
  <si>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</si>
  <si>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</si>
  <si>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</si>
  <si>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</si>
  <si>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</si>
  <si>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</si>
  <si>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</si>
  <si>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</si>
  <si>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</si>
  <si>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</si>
  <si>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</si>
  <si>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</si>
  <si>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</si>
  <si>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</si>
  <si>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</si>
  <si>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</si>
  <si>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</si>
  <si>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</si>
  <si>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</si>
  <si>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</si>
  <si>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</si>
  <si>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</si>
  <si>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</si>
  <si>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</si>
  <si>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</si>
  <si>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</si>
  <si>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</si>
  <si>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</si>
  <si>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</si>
  <si>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</si>
  <si>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</si>
  <si>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</si>
  <si>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</si>
  <si>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</si>
  <si>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</si>
  <si>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</si>
  <si>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</si>
  <si>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</si>
  <si>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</si>
  <si>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</si>
  <si>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</si>
  <si>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</si>
  <si>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</si>
  <si>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</si>
  <si>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</si>
  <si>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</si>
  <si>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</si>
  <si>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</si>
  <si>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</si>
  <si>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</si>
  <si>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</si>
  <si>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</si>
  <si>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</si>
  <si>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</si>
  <si>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</si>
  <si>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</si>
  <si>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</si>
  <si>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</si>
  <si>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</si>
  <si>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</si>
  <si>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</si>
  <si>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</si>
  <si>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</si>
  <si>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</si>
  <si>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</si>
  <si>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</si>
  <si>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</si>
  <si>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</si>
  <si>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</si>
  <si>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</si>
  <si>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</si>
  <si>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</si>
  <si>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</si>
  <si>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</si>
  <si>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</si>
  <si>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</si>
  <si>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</si>
  <si>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</si>
  <si>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</si>
  <si>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</si>
  <si>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</si>
  <si>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</si>
  <si>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</si>
  <si>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</si>
  <si>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</si>
  <si>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</si>
  <si>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</si>
  <si>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</si>
  <si>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</si>
  <si>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</si>
  <si>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</si>
  <si>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</si>
  <si>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</si>
  <si>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</si>
  <si>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</si>
  <si>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</si>
  <si>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</si>
  <si>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</si>
  <si>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</si>
  <si>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</si>
  <si>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</si>
  <si>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</si>
  <si>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</si>
  <si>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</si>
  <si>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</si>
  <si>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</si>
  <si>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</si>
  <si>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</si>
  <si>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</si>
  <si>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</si>
  <si>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</si>
  <si>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</si>
  <si>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</si>
  <si>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</si>
  <si>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</si>
  <si>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</si>
  <si>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</si>
  <si>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</si>
  <si>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</si>
  <si>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</si>
  <si>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</si>
  <si>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</si>
  <si>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</si>
  <si>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</si>
  <si>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</si>
  <si>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</si>
  <si>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</si>
  <si>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</si>
  <si>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</si>
  <si>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</si>
  <si>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</si>
  <si>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</si>
  <si>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</si>
  <si>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</si>
  <si>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</si>
  <si>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</si>
  <si>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</si>
  <si>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</si>
  <si>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</si>
  <si>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</si>
  <si>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</si>
  <si>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</si>
  <si>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</si>
  <si>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</si>
  <si>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</si>
  <si>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</si>
  <si>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</si>
  <si>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</si>
  <si>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</si>
  <si>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</si>
  <si>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</si>
  <si>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</si>
  <si>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</si>
  <si>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</si>
  <si>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</si>
  <si>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</si>
  <si>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</si>
  <si>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</si>
  <si>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</si>
  <si>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</si>
  <si>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</si>
  <si>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</si>
  <si>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</si>
  <si>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</si>
  <si>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</si>
  <si>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</si>
  <si>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</si>
  <si>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</si>
  <si>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</si>
  <si>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</si>
  <si>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</si>
  <si>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</si>
  <si>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</si>
  <si>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</si>
  <si>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</si>
  <si>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</si>
  <si>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</si>
  <si>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</si>
  <si>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</si>
  <si>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</si>
  <si>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</si>
  <si>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</si>
  <si>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</si>
  <si>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</si>
  <si>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</si>
  <si>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</si>
  <si>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</si>
  <si>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</si>
  <si>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</si>
  <si>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</si>
  <si>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</si>
  <si>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</si>
  <si>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</si>
  <si>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</si>
  <si>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</si>
  <si>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</si>
  <si>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</si>
  <si>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</si>
  <si>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</si>
  <si>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</si>
  <si>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</si>
  <si>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</si>
  <si>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</si>
  <si>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</si>
  <si>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</si>
  <si>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</si>
  <si>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</si>
  <si>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</si>
  <si>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</si>
  <si>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</si>
  <si>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</si>
  <si>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</si>
  <si>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</si>
  <si>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</si>
  <si>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</si>
  <si>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</si>
  <si>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</si>
  <si>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</si>
  <si>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</si>
  <si>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</si>
  <si>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</si>
  <si>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</si>
  <si>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</si>
  <si>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</si>
  <si>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</si>
  <si>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</si>
  <si>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</si>
  <si>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</si>
  <si>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</si>
  <si>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</si>
  <si>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</si>
  <si>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</si>
  <si>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</si>
  <si>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</si>
  <si>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</si>
  <si>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</si>
  <si>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</si>
  <si>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</si>
  <si>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</si>
  <si>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</si>
  <si>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</si>
  <si>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</si>
  <si>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</si>
  <si>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</si>
  <si>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</si>
  <si>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</si>
  <si>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</si>
  <si>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</si>
  <si>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</si>
  <si>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</si>
  <si>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</si>
  <si>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</si>
  <si>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</si>
  <si>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</si>
  <si>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</si>
  <si>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</si>
  <si>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</si>
  <si>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</si>
  <si>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</si>
  <si>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</si>
  <si>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</si>
  <si>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</si>
  <si>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</si>
  <si>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</si>
  <si>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</si>
  <si>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</si>
  <si>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</si>
  <si>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</si>
  <si>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</si>
  <si>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</si>
  <si>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</si>
  <si>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</si>
  <si>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</si>
  <si>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</si>
  <si>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</si>
  <si>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</si>
  <si>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</si>
  <si>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</si>
  <si>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</si>
  <si>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</si>
  <si>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</si>
  <si>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</si>
  <si>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</si>
  <si>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</si>
  <si>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</si>
  <si>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</si>
  <si>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</si>
  <si>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</si>
  <si>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</si>
  <si>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</si>
  <si>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</si>
  <si>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</si>
  <si>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</si>
  <si>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</si>
  <si>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</si>
  <si>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</si>
  <si>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</si>
  <si>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</si>
  <si>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</si>
  <si>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</si>
  <si>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</si>
  <si>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</si>
  <si>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</si>
  <si>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</si>
  <si>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</si>
  <si>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</si>
  <si>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</si>
  <si>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</si>
  <si>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</si>
  <si>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</si>
  <si>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</si>
  <si>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</si>
  <si>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</si>
  <si>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</si>
  <si>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</si>
  <si>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</si>
  <si>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</si>
  <si>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</si>
  <si>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</si>
  <si>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</si>
  <si>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</si>
  <si>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</si>
  <si>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</si>
  <si>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</si>
  <si>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</si>
  <si>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</si>
  <si>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</si>
  <si>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</si>
  <si>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</si>
  <si>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</si>
  <si>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</si>
  <si>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</si>
  <si>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</si>
  <si>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</si>
  <si>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</si>
  <si>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</si>
  <si>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</si>
  <si>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</si>
  <si>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</si>
  <si>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</si>
  <si>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</si>
  <si>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</si>
  <si>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</si>
  <si>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</si>
  <si>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</si>
  <si>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</si>
  <si>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</si>
  <si>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</si>
  <si>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</si>
  <si>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</si>
  <si>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</si>
  <si>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</si>
  <si>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</si>
  <si>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</si>
  <si>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</si>
  <si>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</si>
  <si>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</si>
  <si>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</si>
  <si>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</si>
  <si>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</si>
  <si>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</si>
  <si>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</si>
  <si>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</si>
  <si>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</si>
  <si>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</si>
  <si>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</si>
  <si>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</si>
  <si>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</si>
  <si>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</si>
  <si>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</si>
  <si>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</si>
  <si>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</si>
  <si>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</si>
  <si>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</si>
  <si>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</si>
  <si>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</si>
  <si>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</si>
  <si>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</si>
  <si>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</si>
  <si>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</si>
  <si>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</si>
  <si>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</si>
  <si>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</si>
  <si>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</si>
  <si>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</si>
  <si>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</si>
  <si>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</si>
  <si>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</si>
  <si>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</si>
  <si>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</si>
  <si>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</si>
  <si>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</si>
  <si>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</si>
  <si>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</si>
  <si>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</si>
  <si>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</si>
  <si>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</si>
  <si>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</si>
  <si>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</si>
  <si>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</si>
  <si>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</si>
  <si>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</si>
  <si>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</si>
  <si>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</si>
  <si>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</si>
  <si>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</si>
  <si>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</si>
  <si>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</si>
  <si>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</si>
  <si>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</si>
  <si>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</si>
  <si>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</si>
  <si>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</si>
  <si>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</si>
  <si>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</si>
  <si>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</si>
  <si>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</si>
  <si>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</si>
  <si>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</si>
  <si>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</si>
  <si>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</si>
  <si>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</si>
  <si>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</si>
  <si>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</si>
  <si>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</si>
  <si>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</si>
  <si>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</si>
  <si>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</si>
  <si>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</si>
  <si>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</si>
  <si>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</si>
  <si>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</si>
  <si>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</si>
  <si>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</si>
  <si>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</si>
  <si>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</si>
  <si>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</si>
  <si>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</si>
  <si>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</si>
  <si>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</si>
  <si>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</si>
  <si>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</si>
  <si>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</si>
  <si>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</si>
  <si>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</si>
  <si>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</si>
  <si>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</si>
  <si>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</si>
  <si>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</si>
  <si>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</si>
  <si>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</si>
  <si>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</si>
  <si>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</si>
  <si>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</si>
  <si>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</si>
  <si>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</si>
  <si>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</si>
  <si>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</si>
  <si>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</si>
  <si>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</si>
  <si>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</si>
  <si>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</si>
  <si>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</si>
  <si>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</si>
  <si>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</si>
  <si>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</si>
  <si>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</si>
  <si>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</si>
  <si>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</si>
  <si>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</si>
  <si>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</si>
  <si>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</si>
  <si>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</si>
  <si>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</si>
  <si>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</si>
  <si>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</si>
  <si>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</si>
  <si>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</si>
  <si>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</si>
  <si>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</si>
  <si>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</si>
  <si>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</si>
  <si>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</si>
  <si>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</si>
  <si>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</si>
  <si>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</si>
  <si>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</si>
  <si>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</si>
  <si>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</si>
  <si>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</si>
  <si>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</si>
  <si>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</si>
  <si>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</si>
  <si>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</si>
  <si>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</si>
  <si>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</si>
  <si>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</si>
  <si>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</si>
  <si>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</si>
  <si>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</si>
  <si>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</si>
  <si>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</si>
  <si>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</si>
  <si>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</si>
  <si>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</si>
  <si>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</si>
  <si>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</si>
  <si>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</si>
  <si>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</si>
  <si>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</si>
  <si>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</si>
  <si>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</si>
  <si>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</si>
  <si>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</si>
  <si>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</si>
  <si>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</si>
  <si>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</si>
  <si>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</si>
  <si>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</si>
  <si>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</si>
  <si>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</si>
  <si>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</si>
  <si>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</si>
  <si>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</si>
  <si>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</si>
  <si>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</si>
  <si>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</si>
  <si>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</si>
  <si>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</si>
  <si>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</si>
  <si>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</si>
  <si>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</si>
  <si>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</si>
  <si>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</si>
  <si>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</si>
  <si>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</si>
  <si>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</si>
  <si>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</si>
  <si>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</si>
  <si>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</si>
  <si>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</si>
  <si>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</si>
  <si>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</si>
  <si>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</si>
  <si>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</si>
  <si>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</si>
  <si>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</si>
  <si>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</si>
  <si>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</si>
  <si>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</si>
  <si>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</si>
  <si>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</si>
  <si>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</si>
  <si>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</si>
  <si>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</si>
  <si>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</si>
  <si>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</si>
  <si>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</si>
  <si>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</si>
  <si>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</si>
  <si>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</si>
  <si>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</si>
  <si>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</si>
  <si>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</si>
  <si>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</si>
  <si>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</si>
  <si>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</si>
  <si>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</si>
  <si>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</si>
  <si>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</si>
  <si>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</si>
  <si>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</si>
  <si>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</si>
  <si>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</si>
  <si>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</si>
  <si>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</si>
  <si>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</si>
  <si>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</si>
  <si>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</si>
  <si>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</si>
  <si>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</si>
  <si>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</si>
  <si>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</si>
  <si>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</si>
  <si>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</si>
  <si>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</si>
  <si>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</si>
  <si>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</si>
  <si>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</si>
  <si>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</si>
  <si>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</si>
  <si>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</si>
  <si>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</si>
  <si>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</si>
  <si>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</si>
  <si>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</si>
  <si>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</si>
  <si>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</si>
  <si>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</si>
  <si>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</si>
  <si>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</si>
  <si>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</si>
  <si>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</si>
  <si>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</si>
  <si>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</si>
  <si>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</si>
  <si>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</si>
  <si>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</si>
  <si>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</si>
  <si>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</si>
  <si>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</si>
  <si>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</si>
  <si>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</si>
  <si>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</si>
  <si>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</si>
  <si>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</si>
  <si>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</si>
  <si>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</si>
  <si>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</si>
  <si>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</si>
  <si>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</si>
  <si>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</si>
  <si>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</si>
  <si>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</si>
  <si>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</si>
  <si>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</si>
  <si>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</si>
  <si>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</si>
  <si>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</si>
  <si>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</si>
  <si>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</si>
  <si>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</si>
  <si>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</si>
  <si>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</si>
  <si>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</si>
  <si>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</si>
  <si>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</si>
  <si>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</si>
  <si>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</si>
  <si>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</si>
  <si>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</si>
  <si>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</si>
  <si>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</si>
  <si>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</si>
  <si>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</si>
  <si>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</si>
  <si>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</si>
  <si>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</si>
  <si>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</si>
  <si>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</si>
  <si>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</si>
  <si>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</si>
  <si>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</si>
  <si>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</si>
  <si>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</si>
  <si>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</si>
  <si>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</si>
  <si>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</si>
  <si>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</si>
  <si>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</si>
  <si>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</si>
  <si>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</si>
  <si>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</si>
  <si>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</si>
  <si>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</si>
  <si>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</si>
  <si>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</si>
  <si>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</si>
  <si>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</si>
  <si>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</si>
  <si>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</si>
  <si>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</si>
  <si>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</si>
  <si>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</si>
  <si>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</si>
  <si>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</si>
  <si>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</si>
  <si>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</si>
  <si>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</si>
  <si>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</si>
  <si>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</si>
  <si>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</si>
  <si>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</si>
  <si>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</si>
  <si>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</si>
  <si>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</si>
  <si>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</si>
  <si>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</si>
  <si>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</si>
  <si>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</si>
  <si>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</si>
  <si>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</si>
  <si>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</si>
  <si>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</si>
  <si>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</si>
  <si>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</si>
  <si>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</si>
  <si>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</si>
  <si>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</si>
  <si>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</si>
  <si>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</si>
  <si>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</si>
  <si>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</si>
  <si>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</si>
  <si>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</si>
  <si>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</si>
  <si>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</si>
  <si>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</si>
  <si>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</si>
  <si>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</si>
  <si>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</si>
  <si>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</si>
  <si>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</si>
  <si>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</si>
  <si>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</si>
  <si>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</si>
  <si>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</si>
  <si>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</si>
  <si>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</si>
  <si>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</si>
  <si>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</si>
  <si>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</si>
  <si>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</si>
  <si>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</si>
  <si>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</si>
  <si>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</si>
  <si>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</si>
  <si>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</si>
  <si>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</si>
  <si>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</si>
  <si>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</si>
  <si>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</si>
  <si>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</si>
  <si>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</si>
  <si>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</si>
  <si>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</si>
  <si>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</si>
  <si>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</si>
  <si>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</si>
  <si>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</si>
  <si>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</si>
  <si>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</si>
  <si>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</si>
  <si>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</si>
  <si>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</si>
  <si>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</si>
  <si>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</si>
  <si>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</si>
  <si>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</si>
  <si>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</si>
  <si>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</si>
  <si>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</si>
  <si>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</si>
  <si>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</si>
  <si>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</si>
  <si>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</si>
  <si>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</si>
  <si>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</si>
  <si>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</si>
  <si>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</si>
  <si>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</si>
  <si>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</si>
  <si>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</si>
  <si>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</si>
  <si>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</si>
  <si>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</si>
  <si>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</si>
  <si>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</si>
  <si>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</si>
  <si>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</si>
  <si>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</si>
  <si>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</si>
  <si>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</si>
  <si>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</si>
  <si>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</si>
  <si>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</si>
  <si>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</si>
  <si>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</si>
  <si>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</si>
  <si>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</si>
  <si>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</si>
  <si>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</si>
  <si>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</si>
  <si>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</si>
  <si>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</si>
  <si>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</si>
  <si>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</si>
  <si>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</si>
  <si>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</si>
  <si>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</si>
  <si>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</si>
  <si>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</si>
  <si>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</si>
  <si>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</si>
  <si>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</si>
  <si>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</si>
  <si>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</si>
  <si>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</si>
  <si>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</si>
  <si>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</si>
  <si>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</si>
  <si>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</si>
  <si>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</si>
  <si>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</si>
  <si>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</si>
  <si>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</si>
  <si>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</si>
  <si>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</si>
  <si>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</si>
  <si>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</si>
  <si>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</si>
  <si>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</si>
  <si>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</si>
  <si>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</si>
  <si>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</si>
  <si>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</si>
  <si>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</si>
  <si>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</si>
  <si>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</si>
  <si>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</si>
  <si>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</si>
  <si>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</si>
  <si>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</si>
  <si>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</si>
  <si>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</si>
  <si>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</si>
  <si>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</si>
  <si>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</si>
  <si>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</si>
  <si>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</si>
  <si>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</si>
  <si>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</si>
  <si>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</si>
  <si>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</si>
  <si>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</si>
  <si>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</si>
  <si>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</si>
  <si>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</si>
  <si>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</si>
  <si>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</si>
  <si>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</si>
  <si>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</si>
  <si>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</si>
  <si>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</si>
  <si>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</si>
  <si>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</si>
  <si>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</si>
  <si>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</si>
  <si>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</si>
  <si>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</si>
  <si>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</si>
  <si>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</si>
  <si>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</si>
  <si>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</si>
  <si>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</si>
  <si>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</si>
  <si>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</si>
  <si>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</si>
  <si>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</si>
  <si>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</si>
  <si>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</si>
  <si>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</si>
  <si>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</si>
  <si>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</si>
  <si>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</si>
  <si>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</si>
  <si>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</si>
  <si>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</si>
  <si>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</si>
  <si>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</si>
  <si>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</si>
  <si>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</si>
  <si>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</si>
  <si>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</si>
  <si>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</si>
  <si>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</si>
  <si>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</si>
  <si>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</si>
  <si>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</si>
  <si>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</si>
  <si>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</si>
  <si>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</si>
  <si>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</si>
  <si>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</si>
  <si>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</si>
  <si>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</si>
  <si>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</si>
  <si>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</si>
  <si>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</si>
  <si>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</si>
  <si>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</si>
  <si>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</si>
  <si>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</si>
  <si>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</si>
  <si>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</si>
  <si>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</si>
  <si>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</si>
  <si>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</si>
  <si>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</si>
  <si>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</si>
  <si>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</si>
  <si>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</si>
  <si>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</si>
  <si>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</si>
  <si>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</si>
  <si>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</si>
  <si>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</si>
  <si>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</si>
  <si>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</si>
  <si>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</si>
  <si>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</si>
  <si>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</si>
  <si>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</si>
  <si>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</si>
  <si>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</si>
  <si>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</si>
  <si>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</si>
  <si>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</si>
  <si>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</si>
  <si>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</si>
  <si>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</si>
  <si>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</si>
  <si>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</si>
  <si>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</si>
  <si>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</si>
  <si>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</si>
  <si>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</si>
  <si>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</si>
  <si>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</si>
  <si>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</si>
  <si>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</si>
  <si>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</si>
  <si>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</si>
  <si>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</si>
  <si>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</si>
  <si>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</si>
  <si>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</si>
  <si>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</si>
  <si>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</si>
  <si>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</si>
  <si>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</si>
  <si>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</si>
  <si>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</si>
  <si>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</si>
  <si>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</si>
  <si>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</si>
  <si>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</si>
  <si>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</si>
  <si>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</si>
  <si>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</si>
  <si>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</si>
  <si>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</si>
  <si>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</si>
  <si>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</si>
  <si>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</si>
  <si>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</si>
  <si>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</si>
  <si>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</si>
  <si>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</si>
  <si>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</si>
  <si>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</si>
  <si>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</si>
  <si>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</si>
  <si>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</si>
  <si>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</si>
  <si>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</si>
  <si>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</si>
  <si>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</si>
  <si>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</si>
  <si>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</si>
  <si>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</si>
  <si>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</si>
  <si>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</si>
  <si>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</si>
  <si>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</si>
  <si>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</si>
  <si>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</si>
  <si>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</si>
  <si>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</si>
  <si>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</si>
  <si>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</si>
  <si>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</si>
  <si>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</si>
  <si>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</si>
  <si>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</si>
  <si>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</si>
  <si>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</si>
  <si>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</si>
  <si>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</si>
  <si>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</si>
  <si>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</si>
  <si>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</si>
  <si>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</si>
  <si>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</si>
  <si>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</si>
  <si>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</si>
  <si>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</si>
  <si>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</si>
  <si>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</si>
  <si>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</si>
  <si>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</si>
  <si>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</si>
  <si>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</si>
  <si>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</si>
  <si>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</si>
  <si>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</si>
  <si>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</si>
  <si>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</si>
  <si>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</si>
  <si>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</si>
  <si>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</si>
  <si>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</si>
  <si>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</si>
  <si>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</si>
  <si>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</si>
  <si>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</si>
  <si>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</si>
  <si>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</si>
  <si>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</si>
  <si>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</si>
  <si>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</si>
  <si>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</si>
  <si>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</si>
  <si>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</si>
  <si>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</si>
  <si>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</si>
  <si>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</si>
  <si>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</si>
  <si>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</si>
  <si>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</si>
  <si>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</si>
  <si>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</si>
  <si>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</si>
  <si>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</si>
  <si>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</si>
  <si>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</si>
  <si>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</si>
  <si>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</si>
  <si>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</si>
  <si>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</si>
  <si>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</si>
  <si>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</si>
  <si>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</si>
  <si>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</si>
  <si>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</si>
  <si>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</si>
  <si>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</si>
  <si>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</si>
  <si>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</si>
  <si>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</si>
  <si>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</si>
  <si>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</si>
  <si>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</si>
  <si>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</si>
  <si>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</si>
  <si>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</si>
  <si>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</si>
  <si>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</si>
  <si>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</si>
  <si>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</si>
  <si>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</si>
  <si>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</si>
  <si>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</si>
  <si>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</si>
  <si>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</si>
  <si>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</si>
  <si>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</si>
  <si>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</si>
  <si>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</si>
  <si>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</si>
  <si>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</si>
  <si>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</si>
  <si>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</si>
  <si>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</si>
  <si>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</si>
  <si>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</si>
  <si>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</si>
  <si>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</si>
  <si>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</si>
  <si>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</si>
  <si>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</si>
  <si>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</si>
  <si>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</si>
  <si>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</si>
  <si>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</si>
  <si>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</si>
  <si>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</si>
  <si>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</si>
  <si>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</si>
  <si>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</si>
  <si>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</si>
  <si>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</si>
  <si>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</si>
  <si>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</si>
  <si>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</si>
  <si>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</si>
  <si>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</si>
  <si>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</si>
  <si>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</si>
  <si>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</si>
  <si>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</si>
  <si>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</si>
  <si>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</si>
  <si>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</si>
  <si>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</si>
  <si>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</si>
  <si>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</si>
  <si>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</si>
  <si>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</si>
  <si>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</si>
  <si>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</si>
  <si>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</si>
  <si>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</si>
  <si>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</si>
  <si>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</si>
  <si>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</si>
  <si>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</si>
  <si>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</si>
  <si>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</si>
  <si>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</si>
  <si>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</si>
  <si>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</si>
  <si>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</si>
  <si>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</si>
  <si>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</si>
  <si>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</si>
  <si>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</si>
  <si>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</si>
  <si>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</si>
  <si>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</si>
  <si>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</si>
  <si>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</si>
  <si>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</si>
  <si>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</si>
  <si>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</si>
  <si>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</si>
  <si>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</si>
  <si>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</si>
  <si>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</si>
  <si>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</si>
  <si>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</si>
  <si>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</si>
  <si>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</si>
  <si>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</si>
  <si>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</si>
  <si>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</si>
  <si>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</si>
  <si>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</si>
  <si>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</si>
  <si>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</si>
  <si>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</si>
  <si>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</si>
  <si>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</si>
  <si>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</si>
  <si>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</si>
  <si>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</si>
  <si>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</si>
  <si>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</si>
  <si>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</si>
  <si>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</si>
  <si>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</si>
  <si>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</si>
  <si>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</si>
  <si>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</si>
  <si>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</si>
  <si>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</si>
  <si>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</si>
  <si>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</si>
  <si>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</si>
  <si>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</si>
  <si>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</si>
  <si>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</si>
  <si>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</si>
  <si>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</si>
  <si>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</si>
  <si>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</si>
  <si>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</si>
  <si>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</si>
  <si>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</si>
  <si>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</si>
  <si>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</si>
  <si>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</si>
  <si>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</si>
  <si>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</si>
  <si>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</si>
  <si>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</si>
  <si>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</si>
  <si>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</si>
  <si>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</si>
  <si>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</si>
  <si>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</si>
  <si>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</si>
  <si>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</si>
  <si>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</si>
  <si>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</si>
  <si>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</si>
  <si>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</si>
  <si>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</si>
  <si>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</si>
  <si>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</si>
  <si>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</si>
  <si>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</si>
  <si>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</si>
  <si>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</si>
  <si>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</si>
  <si>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</si>
  <si>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</si>
  <si>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</si>
  <si>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</si>
  <si>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Hugues Tuphile</t>
  </si>
  <si>
    <t xml:space="preserve">Argens</t>
  </si>
  <si>
    <t xml:space="preserve">Roquebrune sur Argens</t>
  </si>
  <si>
    <t xml:space="preserve">06206000</t>
  </si>
  <si>
    <t xml:space="preserve">RCS LR 2015</t>
  </si>
  <si>
    <t xml:space="preserve">ch. lentique</t>
  </si>
  <si>
    <t xml:space="preserve">élevé</t>
  </si>
  <si>
    <t xml:space="preserve">moyen</t>
  </si>
  <si>
    <t xml:space="preserve">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</si>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</sst>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42278</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8.59375</v>
      </c>
      <c r="N5" s="352"/>
      <c r="O5" s="353" t="s">
        <v>1680</v>
      </c>
      <c r="P5" s="354" t="n">
        <v>10.3913043478261</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3461</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9.77777777777778</v>
      </c>
      <c r="P8" s="384" t="n">
        <f aca="false">IF(ISERROR(AVERAGE(K23:K82)),"  ",AVERAGE(K23:K82))</f>
        <v>1.44444444444444</v>
      </c>
      <c r="Q8" s="385"/>
      <c r="R8" s="309"/>
      <c r="S8" s="309"/>
      <c r="T8" s="309"/>
      <c r="U8" s="309"/>
      <c r="V8" s="309"/>
      <c r="W8" s="323"/>
    </row>
    <row r="9" customFormat="false" ht="12.75" hidden="false" customHeight="false" outlineLevel="0" collapsed="false">
      <c r="A9" s="342" t="s">
        <v>3395</v>
      </c>
      <c r="B9" s="386" t="n">
        <v>4.6</v>
      </c>
      <c r="C9" s="387"/>
      <c r="D9" s="388"/>
      <c r="E9" s="388"/>
      <c r="F9" s="389" t="n">
        <f aca="false">($B9*$B$7+$C9*$C$7)/100</f>
        <v>4.6</v>
      </c>
      <c r="G9" s="390"/>
      <c r="H9" s="345"/>
      <c r="I9" s="309"/>
      <c r="J9" s="391"/>
      <c r="K9" s="392"/>
      <c r="L9" s="375"/>
      <c r="M9" s="393"/>
      <c r="N9" s="383" t="s">
        <v>3396</v>
      </c>
      <c r="O9" s="384" t="n">
        <f aca="false">IF(ISERROR(STDEVP(J23:J82))," ",STDEVP(J23:J82))</f>
        <v>2.77999911182151</v>
      </c>
      <c r="P9" s="384" t="n">
        <f aca="false">IF(ISERROR(STDEVP(K23:K82)),"  ",STDEVP(K23:K82))</f>
        <v>0.598351645237167</v>
      </c>
      <c r="Q9" s="385"/>
      <c r="R9" s="309"/>
      <c r="S9" s="309"/>
      <c r="T9" s="309"/>
      <c r="U9" s="309"/>
      <c r="V9" s="309"/>
      <c r="W9" s="323"/>
    </row>
    <row r="10" customFormat="false" ht="12.75" hidden="false" customHeight="false" outlineLevel="0" collapsed="false">
      <c r="A10" s="342" t="s">
        <v>3397</v>
      </c>
      <c r="B10" s="394" t="s">
        <v>3462</v>
      </c>
      <c r="C10" s="395"/>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11</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1</v>
      </c>
      <c r="M13" s="409"/>
      <c r="N13" s="417" t="s">
        <v>3407</v>
      </c>
      <c r="O13" s="418" t="n">
        <f aca="false">COUNTIF(F23:F82,"&gt;0")</f>
        <v>24</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18</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12</v>
      </c>
      <c r="M15" s="409"/>
      <c r="N15" s="417" t="s">
        <v>3413</v>
      </c>
      <c r="O15" s="418" t="n">
        <f aca="false">COUNTIF(K23:K82,"=1")</f>
        <v>11</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0.75</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4.5688</v>
      </c>
      <c r="C20" s="461" t="n">
        <f aca="false">SUM(C23:C62)</f>
        <v>0</v>
      </c>
      <c r="D20" s="462"/>
      <c r="E20" s="463" t="s">
        <v>3420</v>
      </c>
      <c r="F20" s="464" t="n">
        <f aca="false">($B20*$B$7+$C20*$C$7)/100</f>
        <v>4.5688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4.5688</v>
      </c>
      <c r="C21" s="472" t="n">
        <f aca="false">C20*C7/100</f>
        <v>0</v>
      </c>
      <c r="D21" s="473" t="s">
        <v>3423</v>
      </c>
      <c r="E21" s="474"/>
      <c r="F21" s="475" t="n">
        <f aca="false">B21+C21</f>
        <v>4.5688</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0.001</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0.001</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t="n">
        <v>0.0112</v>
      </c>
      <c r="C24" s="520"/>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0.0112</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0.0112</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227</v>
      </c>
      <c r="B25" s="519" t="n">
        <v>0.0252</v>
      </c>
      <c r="C25" s="520"/>
      <c r="D25" s="521" t="str">
        <f aca="false">IF(ISERROR(VLOOKUP($A25,'liste reference'!$A$6:$B$1174,2,0)),IF(ISERROR(VLOOKUP($A25,'liste reference'!$B$6:$B$1174,1,0)),"",VLOOKUP($A25,'liste reference'!$B$6:$B$1174,1,0)),VLOOKUP($A25,'liste reference'!$A$6:$B$1174,2,0))</f>
        <v>Melosira sp.</v>
      </c>
      <c r="E25" s="522" t="e">
        <f aca="false">IF(D25="",0,VLOOKUP(D25,D$22:D24,1,0))</f>
        <v>#N/A</v>
      </c>
      <c r="F25" s="523" t="n">
        <f aca="false">IF(AND(OR(A25="",A25="!!!!!!"),B25="",C25=""),"",IF(OR(AND(B25="",C25=""),ISERROR(C25+B25)),"!!!",($B25*$B$7+$C25*$C$7)/100))</f>
        <v>0.0252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Melosira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8714</v>
      </c>
      <c r="R25" s="513" t="n">
        <f aca="false">IF(ISTEXT(H25),"",(B25*$B$7/100)+(C25*$C$7/100))</f>
        <v>0.0252</v>
      </c>
      <c r="S25" s="514" t="n">
        <f aca="false">IF(OR(ISTEXT(H25),R25=0),"",IF(R25&lt;0.1,1,IF(R25&lt;1,2,IF(R25&lt;10,3,IF(R25&lt;50,4,IF(R25&gt;=50,5,""))))))</f>
        <v>1</v>
      </c>
      <c r="T25" s="514" t="n">
        <f aca="false">IF(ISERROR(S25*J25),0,S25*J25)</f>
        <v>10</v>
      </c>
      <c r="U25" s="514" t="n">
        <f aca="false">IF(ISERROR(S25*J25*K25),0,S25*J25*K25)</f>
        <v>10</v>
      </c>
      <c r="V25" s="530" t="n">
        <f aca="false">IF(ISERROR(S25*K25),0,S25*K25)</f>
        <v>1</v>
      </c>
      <c r="W25" s="531"/>
      <c r="X25" s="532"/>
      <c r="Y25" s="517" t="str">
        <f aca="false">IF(AND(ISNUMBER(F25),OR(A25="",A25="!!!!!!")),"!!!!!!",IF(A25="new.cod","NEWCOD",IF(AND((Z25=""),ISTEXT(A25),A25&lt;&gt;"!!!!!!"),A25,IF(Z25="","",INDEX('liste reference'!$A$6:$A$1174,Z25)))))</f>
        <v>MELSPX</v>
      </c>
      <c r="Z25" s="499" t="n">
        <f aca="false">IF(ISERROR(MATCH(A25,'liste reference'!$A$6:$A$1174,0)),IF(ISERROR(MATCH(A25,'liste reference'!$B$6:$B$1174,0)),"",(MATCH(A25,'liste reference'!$B$6:$B$1174,0))),(MATCH(A25,'liste reference'!$A$6:$A$1174,0)))</f>
        <v>62</v>
      </c>
    </row>
    <row r="26" customFormat="false" ht="12.75" hidden="false" customHeight="false" outlineLevel="0" collapsed="false">
      <c r="A26" s="518" t="s">
        <v>243</v>
      </c>
      <c r="B26" s="519" t="n">
        <v>0.001</v>
      </c>
      <c r="C26" s="520"/>
      <c r="D26" s="521" t="str">
        <f aca="false">IF(ISERROR(VLOOKUP($A26,'liste reference'!$A$6:$B$1174,2,0)),IF(ISERROR(VLOOKUP($A26,'liste reference'!$B$6:$B$1174,1,0)),"",VLOOKUP($A26,'liste reference'!$B$6:$B$1174,1,0)),VLOOKUP($A26,'liste reference'!$A$6:$B$1174,2,0))</f>
        <v>Mougeotia sp.</v>
      </c>
      <c r="E26" s="522" t="e">
        <f aca="false">IF(D26="",0,VLOOKUP(D26,D$22:D25,1,0))</f>
        <v>#N/A</v>
      </c>
      <c r="F26" s="523" t="n">
        <f aca="false">IF(AND(OR(A26="",A26="!!!!!!"),B26="",C26=""),"",IF(OR(AND(B26="",C26=""),ISERROR(C26+B26)),"!!!",($B26*$B$7+$C26*$C$7)/100))</f>
        <v>0.001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Mougeotia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1146</v>
      </c>
      <c r="R26" s="513" t="n">
        <f aca="false">IF(ISTEXT(H26),"",(B26*$B$7/100)+(C26*$C$7/100))</f>
        <v>0.001</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MOUSPX</v>
      </c>
      <c r="Z26" s="499" t="n">
        <f aca="false">IF(ISERROR(MATCH(A26,'liste reference'!$A$6:$A$1174,0)),IF(ISERROR(MATCH(A26,'liste reference'!$B$6:$B$1174,0)),"",(MATCH(A26,'liste reference'!$B$6:$B$1174,0))),(MATCH(A26,'liste reference'!$A$6:$A$1174,0)))</f>
        <v>68</v>
      </c>
    </row>
    <row r="27" customFormat="false" ht="12.75" hidden="false" customHeight="false" outlineLevel="0" collapsed="false">
      <c r="A27" s="518" t="s">
        <v>299</v>
      </c>
      <c r="B27" s="519" t="n">
        <v>0.001</v>
      </c>
      <c r="C27" s="520"/>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0.001</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0.001</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302</v>
      </c>
      <c r="B28" s="519" t="n">
        <v>0.0011</v>
      </c>
      <c r="C28" s="520"/>
      <c r="D28" s="521" t="str">
        <f aca="false">IF(ISERROR(VLOOKUP($A28,'liste reference'!$A$6:$B$1174,2,0)),IF(ISERROR(VLOOKUP($A28,'liste reference'!$B$6:$B$1174,1,0)),"",VLOOKUP($A28,'liste reference'!$B$6:$B$1174,1,0)),VLOOKUP($A28,'liste reference'!$A$6:$B$1174,2,0))</f>
        <v>Oscillatoria sp.</v>
      </c>
      <c r="E28" s="522" t="e">
        <f aca="false">IF(D28="",0,VLOOKUP(D28,D$22:D27,1,0))</f>
        <v>#N/A</v>
      </c>
      <c r="F28" s="523" t="n">
        <f aca="false">IF(AND(OR(A28="",A28="!!!!!!"),B28="",C28=""),"",IF(OR(AND(B28="",C28=""),ISERROR(C28+B28)),"!!!",($B28*$B$7+$C28*$C$7)/100))</f>
        <v>0.0011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11</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Oscillatoria sp.</v>
      </c>
      <c r="M28" s="533"/>
      <c r="N28" s="533"/>
      <c r="O28" s="533"/>
      <c r="P28" s="528" t="s">
        <v>3443</v>
      </c>
      <c r="Q28" s="529" t="n">
        <f aca="false">IF(OR($A28="NEWCOD",$A28="!!!!!!"),IF(X28="","NoCod",X28),IF($A28="","",IF(ISERROR(VLOOKUP($A28,'liste reference'!$A$6:$H$1174,8,FALSE())),IF(ISERROR(VLOOKUP($A28,'liste reference'!$B$6:$H$1174,7,FALSE())),"",VLOOKUP($A28,'liste reference'!$B$6:$H$1174,7,FALSE())),VLOOKUP($A28,'liste reference'!$A$6:$H$1174,8,FALSE()))))</f>
        <v>1108</v>
      </c>
      <c r="R28" s="513" t="n">
        <f aca="false">IF(ISTEXT(H28),"",(B28*$B$7/100)+(C28*$C$7/100))</f>
        <v>0.0011</v>
      </c>
      <c r="S28" s="514" t="n">
        <f aca="false">IF(OR(ISTEXT(H28),R28=0),"",IF(R28&lt;0.1,1,IF(R28&lt;1,2,IF(R28&lt;10,3,IF(R28&lt;50,4,IF(R28&gt;=50,5,""))))))</f>
        <v>1</v>
      </c>
      <c r="T28" s="514" t="n">
        <f aca="false">IF(ISERROR(S28*J28),0,S28*J28)</f>
        <v>11</v>
      </c>
      <c r="U28" s="514" t="n">
        <f aca="false">IF(ISERROR(S28*J28*K28),0,S28*J28*K28)</f>
        <v>11</v>
      </c>
      <c r="V28" s="530" t="n">
        <f aca="false">IF(ISERROR(S28*K28),0,S28*K28)</f>
        <v>1</v>
      </c>
      <c r="W28" s="531"/>
      <c r="X28" s="532"/>
      <c r="Y28" s="517" t="str">
        <f aca="false">IF(AND(ISNUMBER(F28),OR(A28="",A28="!!!!!!")),"!!!!!!",IF(A28="new.cod","NEWCOD",IF(AND((Z28=""),ISTEXT(A28),A28&lt;&gt;"!!!!!!"),A28,IF(Z28="","",INDEX('liste reference'!$A$6:$A$1174,Z28)))))</f>
        <v>OSCSPX</v>
      </c>
      <c r="Z28" s="499" t="n">
        <f aca="false">IF(ISERROR(MATCH(A28,'liste reference'!$A$6:$A$1174,0)),IF(ISERROR(MATCH(A28,'liste reference'!$B$6:$B$1174,0)),"",(MATCH(A28,'liste reference'!$B$6:$B$1174,0))),(MATCH(A28,'liste reference'!$A$6:$A$1174,0)))</f>
        <v>86</v>
      </c>
    </row>
    <row r="29" customFormat="false" ht="12.75" hidden="false" customHeight="false" outlineLevel="0" collapsed="false">
      <c r="A29" s="518" t="s">
        <v>308</v>
      </c>
      <c r="B29" s="519" t="n">
        <v>0.001</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0.001</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335</v>
      </c>
      <c r="B30" s="519" t="n">
        <v>0.0003</v>
      </c>
      <c r="C30" s="520"/>
      <c r="D30" s="521" t="str">
        <f aca="false">IF(ISERROR(VLOOKUP($A30,'liste reference'!$A$6:$B$1174,2,0)),IF(ISERROR(VLOOKUP($A30,'liste reference'!$B$6:$B$1174,1,0)),"",VLOOKUP($A30,'liste reference'!$B$6:$B$1174,1,0)),VLOOKUP($A30,'liste reference'!$A$6:$B$1174,2,0))</f>
        <v>Scytonema sp.</v>
      </c>
      <c r="E30" s="522" t="e">
        <f aca="false">IF(D30="",0,VLOOKUP(D30,D$22:D29,1,0))</f>
        <v>#N/A</v>
      </c>
      <c r="F30" s="523" t="n">
        <f aca="false">IF(AND(OR(A30="",A30="!!!!!!"),B30="",C30=""),"",IF(OR(AND(B30="",C30=""),ISERROR(C30+B30)),"!!!",($B30*$B$7+$C30*$C$7)/100))</f>
        <v>0.0003</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Scytonema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1114</v>
      </c>
      <c r="R30" s="513" t="n">
        <f aca="false">IF(ISTEXT(H30),"",(B30*$B$7/100)+(C30*$C$7/100))</f>
        <v>0.0003</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SCYSPX</v>
      </c>
      <c r="Z30" s="499" t="n">
        <f aca="false">IF(ISERROR(MATCH(A30,'liste reference'!$A$6:$A$1174,0)),IF(ISERROR(MATCH(A30,'liste reference'!$B$6:$B$1174,0)),"",(MATCH(A30,'liste reference'!$B$6:$B$1174,0))),(MATCH(A30,'liste reference'!$A$6:$A$1174,0)))</f>
        <v>99</v>
      </c>
    </row>
    <row r="31" customFormat="false" ht="12.75" hidden="false" customHeight="false" outlineLevel="0" collapsed="false">
      <c r="A31" s="518" t="s">
        <v>342</v>
      </c>
      <c r="B31" s="519" t="n">
        <v>0.001</v>
      </c>
      <c r="C31" s="520"/>
      <c r="D31" s="521" t="str">
        <f aca="false">IF(ISERROR(VLOOKUP($A31,'liste reference'!$A$6:$B$1174,2,0)),IF(ISERROR(VLOOKUP($A31,'liste reference'!$B$6:$B$1174,1,0)),"",VLOOKUP($A31,'liste reference'!$B$6:$B$1174,1,0)),VLOOKUP($A31,'liste reference'!$A$6:$B$1174,2,0))</f>
        <v>Spirogyra sp.</v>
      </c>
      <c r="E31" s="522" t="e">
        <f aca="false">IF(D31="",0,VLOOKUP(D31,D$22:D30,1,0))</f>
        <v>#N/A</v>
      </c>
      <c r="F31" s="523" t="n">
        <f aca="false">IF(AND(OR(A31="",A31="!!!!!!"),B31="",C31=""),"",IF(OR(AND(B31="",C31=""),ISERROR(C31+B31)),"!!!",($B31*$B$7+$C31*$C$7)/100))</f>
        <v>0.001</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Spirogyra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1147</v>
      </c>
      <c r="R31" s="513" t="n">
        <f aca="false">IF(ISTEXT(H31),"",(B31*$B$7/100)+(C31*$C$7/100))</f>
        <v>0.001</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SPISPX</v>
      </c>
      <c r="Z31" s="499" t="n">
        <f aca="false">IF(ISERROR(MATCH(A31,'liste reference'!$A$6:$A$1174,0)),IF(ISERROR(MATCH(A31,'liste reference'!$B$6:$B$1174,0)),"",(MATCH(A31,'liste reference'!$B$6:$B$1174,0))),(MATCH(A31,'liste reference'!$A$6:$A$1174,0)))</f>
        <v>102</v>
      </c>
    </row>
    <row r="32" customFormat="false" ht="12.75" hidden="false" customHeight="false" outlineLevel="0" collapsed="false">
      <c r="A32" s="518" t="s">
        <v>347</v>
      </c>
      <c r="B32" s="519" t="n">
        <v>0.001</v>
      </c>
      <c r="C32" s="520"/>
      <c r="D32" s="521" t="str">
        <f aca="false">IF(ISERROR(VLOOKUP($A32,'liste reference'!$A$6:$B$1174,2,0)),IF(ISERROR(VLOOKUP($A32,'liste reference'!$B$6:$B$1174,1,0)),"",VLOOKUP($A32,'liste reference'!$B$6:$B$1174,1,0)),VLOOKUP($A32,'liste reference'!$A$6:$B$1174,2,0))</f>
        <v>Stigeoclonium sp. (excep. S. tenue)</v>
      </c>
      <c r="E32" s="522" t="e">
        <f aca="false">IF(D32="",0,VLOOKUP(D32,D$22:D31,1,0))</f>
        <v>#N/A</v>
      </c>
      <c r="F32" s="523" t="n">
        <f aca="false">IF(AND(OR(A32="",A32="!!!!!!"),B32="",C32=""),"",IF(OR(AND(B32="",C32=""),ISERROR(C32+B32)),"!!!",($B32*$B$7+$C32*$C$7)/100))</f>
        <v>0.001</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13</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Stigeoclonium sp. (excep. S. tenue)</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1119</v>
      </c>
      <c r="R32" s="513" t="n">
        <f aca="false">IF(ISTEXT(H32),"",(B32*$B$7/100)+(C32*$C$7/100))</f>
        <v>0.001</v>
      </c>
      <c r="S32" s="514" t="n">
        <f aca="false">IF(OR(ISTEXT(H32),R32=0),"",IF(R32&lt;0.1,1,IF(R32&lt;1,2,IF(R32&lt;10,3,IF(R32&lt;50,4,IF(R32&gt;=50,5,""))))))</f>
        <v>1</v>
      </c>
      <c r="T32" s="514" t="n">
        <f aca="false">IF(ISERROR(S32*J32),0,S32*J32)</f>
        <v>13</v>
      </c>
      <c r="U32" s="514" t="n">
        <f aca="false">IF(ISERROR(S32*J32*K32),0,S32*J32*K32)</f>
        <v>26</v>
      </c>
      <c r="V32" s="530" t="n">
        <f aca="false">IF(ISERROR(S32*K32),0,S32*K32)</f>
        <v>2</v>
      </c>
      <c r="W32" s="531"/>
      <c r="X32" s="532"/>
      <c r="Y32" s="517" t="str">
        <f aca="false">IF(AND(ISNUMBER(F32),OR(A32="",A32="!!!!!!")),"!!!!!!",IF(A32="new.cod","NEWCOD",IF(AND((Z32=""),ISTEXT(A32),A32&lt;&gt;"!!!!!!"),A32,IF(Z32="","",INDEX('liste reference'!$A$6:$A$1174,Z32)))))</f>
        <v>STISPX</v>
      </c>
      <c r="Z32" s="499" t="n">
        <f aca="false">IF(ISERROR(MATCH(A32,'liste reference'!$A$6:$A$1174,0)),IF(ISERROR(MATCH(A32,'liste reference'!$B$6:$B$1174,0)),"",(MATCH(A32,'liste reference'!$B$6:$B$1174,0))),(MATCH(A32,'liste reference'!$A$6:$A$1174,0)))</f>
        <v>104</v>
      </c>
    </row>
    <row r="33" customFormat="false" ht="12.75" hidden="false" customHeight="false" outlineLevel="0" collapsed="false">
      <c r="A33" s="518" t="s">
        <v>394</v>
      </c>
      <c r="B33" s="519" t="n">
        <v>0.0812</v>
      </c>
      <c r="C33" s="520"/>
      <c r="D33" s="521" t="str">
        <f aca="false">IF(ISERROR(VLOOKUP($A33,'liste reference'!$A$6:$B$1174,2,0)),IF(ISERROR(VLOOKUP($A33,'liste reference'!$B$6:$B$1174,1,0)),"",VLOOKUP($A33,'liste reference'!$B$6:$B$1174,1,0)),VLOOKUP($A33,'liste reference'!$A$6:$B$1174,2,0))</f>
        <v>Vaucheria sp.</v>
      </c>
      <c r="E33" s="522" t="e">
        <f aca="false">IF(D33="",0,VLOOKUP(D33,D$22:D32,1,0))</f>
        <v>#N/A</v>
      </c>
      <c r="F33" s="523" t="n">
        <f aca="false">IF(AND(OR(A33="",A33="!!!!!!"),B33="",C33=""),"",IF(OR(AND(B33="",C33=""),ISERROR(C33+B33)),"!!!",($B33*$B$7+$C33*$C$7)/100))</f>
        <v>0.0812</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4</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Vaucheria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1169</v>
      </c>
      <c r="R33" s="513" t="n">
        <f aca="false">IF(ISTEXT(H33),"",(B33*$B$7/100)+(C33*$C$7/100))</f>
        <v>0.0812</v>
      </c>
      <c r="S33" s="514" t="n">
        <f aca="false">IF(OR(ISTEXT(H33),R33=0),"",IF(R33&lt;0.1,1,IF(R33&lt;1,2,IF(R33&lt;10,3,IF(R33&lt;50,4,IF(R33&gt;=50,5,""))))))</f>
        <v>1</v>
      </c>
      <c r="T33" s="514" t="n">
        <f aca="false">IF(ISERROR(S33*J33),0,S33*J33)</f>
        <v>4</v>
      </c>
      <c r="U33" s="514" t="n">
        <f aca="false">IF(ISERROR(S33*J33*K33),0,S33*J33*K33)</f>
        <v>4</v>
      </c>
      <c r="V33" s="530" t="n">
        <f aca="false">IF(ISERROR(S33*K33),0,S33*K33)</f>
        <v>1</v>
      </c>
      <c r="W33" s="531"/>
      <c r="X33" s="532"/>
      <c r="Y33" s="517" t="str">
        <f aca="false">IF(AND(ISNUMBER(F33),OR(A33="",A33="!!!!!!")),"!!!!!!",IF(A33="new.cod","NEWCOD",IF(AND((Z33=""),ISTEXT(A33),A33&lt;&gt;"!!!!!!"),A33,IF(Z33="","",INDEX('liste reference'!$A$6:$A$1174,Z33)))))</f>
        <v>VAUSPX</v>
      </c>
      <c r="Z33" s="499" t="n">
        <f aca="false">IF(ISERROR(MATCH(A33,'liste reference'!$A$6:$A$1174,0)),IF(ISERROR(MATCH(A33,'liste reference'!$B$6:$B$1174,0)),"",(MATCH(A33,'liste reference'!$B$6:$B$1174,0))),(MATCH(A33,'liste reference'!$A$6:$A$1174,0)))</f>
        <v>118</v>
      </c>
    </row>
    <row r="34" customFormat="false" ht="12.75" hidden="false" customHeight="false" outlineLevel="0" collapsed="false">
      <c r="A34" s="518" t="s">
        <v>883</v>
      </c>
      <c r="B34" s="519" t="n">
        <v>0.001</v>
      </c>
      <c r="C34" s="520"/>
      <c r="D34" s="521" t="str">
        <f aca="false">IF(ISERROR(VLOOKUP($A34,'liste reference'!$A$6:$B$1174,2,0)),IF(ISERROR(VLOOKUP($A34,'liste reference'!$B$6:$B$1174,1,0)),"",VLOOKUP($A34,'liste reference'!$B$6:$B$1174,1,0)),VLOOKUP($A34,'liste reference'!$A$6:$B$1174,2,0))</f>
        <v>Fissidens viridulus</v>
      </c>
      <c r="E34" s="522" t="e">
        <f aca="false">IF(D34="",0,VLOOKUP(D34,D$22:D33,1,0))</f>
        <v>#N/A</v>
      </c>
      <c r="F34" s="523" t="n">
        <f aca="false">IF(AND(OR(A34="",A34="!!!!!!"),B34="",C34=""),"",IF(OR(AND(B34="",C34=""),ISERROR(C34+B34)),"!!!",($B34*$B$7+$C34*$C$7)/100))</f>
        <v>0.001</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Fissidens viridulus</v>
      </c>
      <c r="M34" s="527"/>
      <c r="N34" s="527"/>
      <c r="O34" s="527"/>
      <c r="P34" s="528" t="s">
        <v>3463</v>
      </c>
      <c r="Q34" s="529" t="n">
        <f aca="false">IF(OR($A34="NEWCOD",$A34="!!!!!!"),IF(X34="","NoCod",X34),IF($A34="","",IF(ISERROR(VLOOKUP($A34,'liste reference'!$A$6:$H$1174,8,FALSE())),IF(ISERROR(VLOOKUP($A34,'liste reference'!$B$6:$H$1174,7,FALSE())),"",VLOOKUP($A34,'liste reference'!$B$6:$H$1174,7,FALSE())),VLOOKUP($A34,'liste reference'!$A$6:$H$1174,8,FALSE()))))</f>
        <v>1301</v>
      </c>
      <c r="R34" s="513" t="n">
        <f aca="false">IF(ISTEXT(H34),"",(B34*$B$7/100)+(C34*$C$7/100))</f>
        <v>0.001</v>
      </c>
      <c r="S34" s="514" t="n">
        <f aca="false">IF(OR(ISTEXT(H34),R34=0),"",IF(R34&lt;0.1,1,IF(R34&lt;1,2,IF(R34&lt;10,3,IF(R34&lt;50,4,IF(R34&gt;=50,5,""))))))</f>
        <v>1</v>
      </c>
      <c r="T34" s="514" t="n">
        <f aca="false">IF(ISERROR(S34*J34),0,S34*J34)</f>
        <v>11</v>
      </c>
      <c r="U34" s="514" t="n">
        <f aca="false">IF(ISERROR(S34*J34*K34),0,S34*J34*K34)</f>
        <v>22</v>
      </c>
      <c r="V34" s="530" t="n">
        <f aca="false">IF(ISERROR(S34*K34),0,S34*K34)</f>
        <v>2</v>
      </c>
      <c r="W34" s="531"/>
      <c r="X34" s="532"/>
      <c r="Y34" s="517" t="str">
        <f aca="false">IF(AND(ISNUMBER(F34),OR(A34="",A34="!!!!!!")),"!!!!!!",IF(A34="new.cod","NEWCOD",IF(AND((Z34=""),ISTEXT(A34),A34&lt;&gt;"!!!!!!"),A34,IF(Z34="","",INDEX('liste reference'!$A$6:$A$1174,Z34)))))</f>
        <v>FISVIR</v>
      </c>
      <c r="Z34" s="499" t="n">
        <f aca="false">IF(ISERROR(MATCH(A34,'liste reference'!$A$6:$A$1174,0)),IF(ISERROR(MATCH(A34,'liste reference'!$B$6:$B$1174,0)),"",(MATCH(A34,'liste reference'!$B$6:$B$1174,0))),(MATCH(A34,'liste reference'!$A$6:$A$1174,0)))</f>
        <v>272</v>
      </c>
    </row>
    <row r="35" customFormat="false" ht="12.75" hidden="false" customHeight="false" outlineLevel="0" collapsed="false">
      <c r="A35" s="518" t="s">
        <v>1482</v>
      </c>
      <c r="B35" s="519" t="n">
        <v>0.01</v>
      </c>
      <c r="C35" s="520"/>
      <c r="D35" s="521" t="str">
        <f aca="false">IF(ISERROR(VLOOKUP($A35,'liste reference'!$A$6:$B$1174,2,0)),IF(ISERROR(VLOOKUP($A35,'liste reference'!$B$6:$B$1174,1,0)),"",VLOOKUP($A35,'liste reference'!$B$6:$B$1174,1,0)),VLOOKUP($A35,'liste reference'!$A$6:$B$1174,2,0))</f>
        <v>Helosciadium nodiflorum </v>
      </c>
      <c r="E35" s="522" t="e">
        <f aca="false">IF(D35="",0,VLOOKUP(D35,D$22:D34,1,0))</f>
        <v>#N/A</v>
      </c>
      <c r="F35" s="523" t="n">
        <f aca="false">IF(AND(OR(A35="",A35="!!!!!!"),B35="",C35=""),"",IF(OR(AND(B35="",C35=""),ISERROR(C35+B35)),"!!!",($B35*$B$7+$C35*$C$7)/100))</f>
        <v>0.01</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Helosciadium nodiflorum </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30053</v>
      </c>
      <c r="R35" s="513" t="n">
        <f aca="false">IF(ISTEXT(H35),"",(B35*$B$7/100)+(C35*$C$7/100))</f>
        <v>0.01</v>
      </c>
      <c r="S35" s="514" t="n">
        <f aca="false">IF(OR(ISTEXT(H35),R35=0),"",IF(R35&lt;0.1,1,IF(R35&lt;1,2,IF(R35&lt;10,3,IF(R35&lt;50,4,IF(R35&gt;=50,5,""))))))</f>
        <v>1</v>
      </c>
      <c r="T35" s="514" t="n">
        <f aca="false">IF(ISERROR(S35*J35),0,S35*J35)</f>
        <v>10</v>
      </c>
      <c r="U35" s="514" t="n">
        <f aca="false">IF(ISERROR(S35*J35*K35),0,S35*J35*K35)</f>
        <v>10</v>
      </c>
      <c r="V35" s="530" t="n">
        <f aca="false">IF(ISERROR(S35*K35),0,S35*K35)</f>
        <v>1</v>
      </c>
      <c r="W35" s="531"/>
      <c r="X35" s="532"/>
      <c r="Y35" s="517" t="str">
        <f aca="false">IF(AND(ISNUMBER(F35),OR(A35="",A35="!!!!!!")),"!!!!!!",IF(A35="new.cod","NEWCOD",IF(AND((Z35=""),ISTEXT(A35),A35&lt;&gt;"!!!!!!"),A35,IF(Z35="","",INDEX('liste reference'!$A$6:$A$1174,Z35)))))</f>
        <v>HELNOD</v>
      </c>
      <c r="Z35" s="499" t="n">
        <f aca="false">IF(ISERROR(MATCH(A35,'liste reference'!$A$6:$A$1174,0)),IF(ISERROR(MATCH(A35,'liste reference'!$B$6:$B$1174,0)),"",(MATCH(A35,'liste reference'!$B$6:$B$1174,0))),(MATCH(A35,'liste reference'!$A$6:$A$1174,0)))</f>
        <v>460</v>
      </c>
    </row>
    <row r="36" customFormat="false" ht="12.75" hidden="false" customHeight="false" outlineLevel="0" collapsed="false">
      <c r="A36" s="518" t="s">
        <v>1521</v>
      </c>
      <c r="B36" s="519" t="n">
        <v>0.0003</v>
      </c>
      <c r="C36" s="520"/>
      <c r="D36" s="521" t="str">
        <f aca="false">IF(ISERROR(VLOOKUP($A36,'liste reference'!$A$6:$B$1174,2,0)),IF(ISERROR(VLOOKUP($A36,'liste reference'!$B$6:$B$1174,1,0)),"",VLOOKUP($A36,'liste reference'!$B$6:$B$1174,1,0)),VLOOKUP($A36,'liste reference'!$A$6:$B$1174,2,0))</f>
        <v>Lemna minor</v>
      </c>
      <c r="E36" s="522" t="e">
        <f aca="false">IF(D36="",0,VLOOKUP(D36,D$22:D35,1,0))</f>
        <v>#N/A</v>
      </c>
      <c r="F36" s="523" t="n">
        <f aca="false">IF(AND(OR(A36="",A36="!!!!!!"),B36="",C36=""),"",IF(OR(AND(B36="",C36=""),ISERROR(C36+B36)),"!!!",($B36*$B$7+$C36*$C$7)/100))</f>
        <v>0.0003</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Lemna minor</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1626</v>
      </c>
      <c r="R36" s="513" t="n">
        <f aca="false">IF(ISTEXT(H36),"",(B36*$B$7/100)+(C36*$C$7/100))</f>
        <v>0.0003</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LEMMIN</v>
      </c>
      <c r="Z36" s="499" t="n">
        <f aca="false">IF(ISERROR(MATCH(A36,'liste reference'!$A$6:$A$1174,0)),IF(ISERROR(MATCH(A36,'liste reference'!$B$6:$B$1174,0)),"",(MATCH(A36,'liste reference'!$B$6:$B$1174,0))),(MATCH(A36,'liste reference'!$A$6:$A$1174,0)))</f>
        <v>473</v>
      </c>
    </row>
    <row r="37" customFormat="false" ht="12.75" hidden="false" customHeight="false" outlineLevel="0" collapsed="false">
      <c r="A37" s="518" t="s">
        <v>1680</v>
      </c>
      <c r="B37" s="519" t="n">
        <v>4.4218</v>
      </c>
      <c r="C37" s="520"/>
      <c r="D37" s="521" t="str">
        <f aca="false">IF(ISERROR(VLOOKUP($A37,'liste reference'!$A$6:$B$1174,2,0)),IF(ISERROR(VLOOKUP($A37,'liste reference'!$B$6:$B$1174,1,0)),"",VLOOKUP($A37,'liste reference'!$B$6:$B$1174,1,0)),VLOOKUP($A37,'liste reference'!$A$6:$B$1174,2,0))</f>
        <v>Potamogeton nodosus</v>
      </c>
      <c r="E37" s="522" t="e">
        <f aca="false">IF(D37="",0,VLOOKUP(D37,D$22:D36,1,0))</f>
        <v>#N/A</v>
      </c>
      <c r="F37" s="523" t="n">
        <f aca="false">IF(AND(OR(A37="",A37="!!!!!!"),B37="",C37=""),"",IF(OR(AND(B37="",C37=""),ISERROR(C37+B37)),"!!!",($B37*$B$7+$C37*$C$7)/100))</f>
        <v>4.4218</v>
      </c>
      <c r="G37" s="524" t="str">
        <f aca="false">IF(A37="","",IF(ISERROR(VLOOKUP($A37,'liste reference'!$A$6:$Q$1174,9,0)),IF(ISERROR(VLOOKUP($A37,'liste reference'!$B$6:$Q$1174,8,0)),"    -",VLOOKUP($A37,'liste reference'!$B$6:$Q$1174,8,0)),VLOOKUP($A37,'liste reference'!$A$6:$Q$1174,9,0)))</f>
        <v>PHy</v>
      </c>
      <c r="H37" s="525" t="n">
        <f aca="false">IF(A37="","x",IF(ISERROR(VLOOKUP($A37,'liste reference'!$A$6:$Q$1174,10,0)),IF(ISERROR(VLOOKUP($A37,'liste reference'!$B$6:$Q$1174,9,0)),"x",VLOOKUP($A37,'liste reference'!$B$6:$Q$1174,9,0)),VLOOKUP($A37,'liste reference'!$A$6:$Q$1174,10,0)))</f>
        <v>7</v>
      </c>
      <c r="I37" s="309" t="n">
        <f aca="false">IF(A37="","",1)</f>
        <v>1</v>
      </c>
      <c r="J37" s="526" t="n">
        <f aca="false">IF(ISNUMBER($H37),IF(ISERROR(VLOOKUP($A37,'liste reference'!$A$6:$Q$1174,6,0)),IF(ISERROR(VLOOKUP($A37,'liste reference'!$B$6:$Q$1174,5,0)),"nu",VLOOKUP($A37,'liste reference'!$B$6:$Q$1174,5,0)),VLOOKUP($A37,'liste reference'!$A$6:$Q$1174,6,0)),"nu")</f>
        <v>4</v>
      </c>
      <c r="K37" s="526" t="n">
        <f aca="false">IF(ISNUMBER($H37),IF(ISERROR(VLOOKUP($A37,'liste reference'!$A$6:$Q$1174,7,0)),IF(ISERROR(VLOOKUP($A37,'liste reference'!$B$6:$Q$1174,6,0)),"nu",VLOOKUP($A37,'liste reference'!$B$6:$Q$1174,6,0)),VLOOKUP($A37,'liste reference'!$A$6:$Q$1174,7,0)),"nu")</f>
        <v>3</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Potamogeton nodosus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1652</v>
      </c>
      <c r="R37" s="513" t="n">
        <f aca="false">IF(ISTEXT(H37),"",(B37*$B$7/100)+(C37*$C$7/100))</f>
        <v>4.4218</v>
      </c>
      <c r="S37" s="514" t="n">
        <f aca="false">IF(OR(ISTEXT(H37),R37=0),"",IF(R37&lt;0.1,1,IF(R37&lt;1,2,IF(R37&lt;10,3,IF(R37&lt;50,4,IF(R37&gt;=50,5,""))))))</f>
        <v>3</v>
      </c>
      <c r="T37" s="514" t="n">
        <f aca="false">IF(ISERROR(S37*J37),0,S37*J37)</f>
        <v>12</v>
      </c>
      <c r="U37" s="514" t="n">
        <f aca="false">IF(ISERROR(S37*J37*K37),0,S37*J37*K37)</f>
        <v>36</v>
      </c>
      <c r="V37" s="530" t="n">
        <f aca="false">IF(ISERROR(S37*K37),0,S37*K37)</f>
        <v>9</v>
      </c>
      <c r="W37" s="531"/>
      <c r="X37" s="532"/>
      <c r="Y37" s="517" t="str">
        <f aca="false">IF(AND(ISNUMBER(F37),OR(A37="",A37="!!!!!!")),"!!!!!!",IF(A37="new.cod","NEWCOD",IF(AND((Z37=""),ISTEXT(A37),A37&lt;&gt;"!!!!!!"),A37,IF(Z37="","",INDEX('liste reference'!$A$6:$A$1174,Z37)))))</f>
        <v>POTNOD</v>
      </c>
      <c r="Z37" s="499" t="n">
        <f aca="false">IF(ISERROR(MATCH(A37,'liste reference'!$A$6:$A$1174,0)),IF(ISERROR(MATCH(A37,'liste reference'!$B$6:$B$1174,0)),"",(MATCH(A37,'liste reference'!$B$6:$B$1174,0))),(MATCH(A37,'liste reference'!$A$6:$A$1174,0)))</f>
        <v>530</v>
      </c>
    </row>
    <row r="38" customFormat="false" ht="12.75" hidden="false" customHeight="false" outlineLevel="0" collapsed="false">
      <c r="A38" s="518" t="s">
        <v>1931</v>
      </c>
      <c r="B38" s="519" t="n">
        <v>0.0006</v>
      </c>
      <c r="C38" s="520"/>
      <c r="D38" s="521" t="str">
        <f aca="false">IF(ISERROR(VLOOKUP($A38,'liste reference'!$A$6:$B$1174,2,0)),IF(ISERROR(VLOOKUP($A38,'liste reference'!$B$6:$B$1174,1,0)),"",VLOOKUP($A38,'liste reference'!$B$6:$B$1174,1,0)),VLOOKUP($A38,'liste reference'!$A$6:$B$1174,2,0))</f>
        <v>Agrostis stolonifera</v>
      </c>
      <c r="E38" s="522" t="e">
        <f aca="false">IF(D38="",0,VLOOKUP(D38,D$22:D37,1,0))</f>
        <v>#N/A</v>
      </c>
      <c r="F38" s="523" t="n">
        <f aca="false">IF(AND(OR(A38="",A38="!!!!!!"),B38="",C38=""),"",IF(OR(AND(B38="",C38=""),ISERROR(C38+B38)),"!!!",($B38*$B$7+$C38*$C$7)/100))</f>
        <v>0.0006</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Agrostis stolonifera</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1543</v>
      </c>
      <c r="R38" s="513" t="n">
        <f aca="false">IF(ISTEXT(H38),"",(B38*$B$7/100)+(C38*$C$7/100))</f>
        <v>0.0006</v>
      </c>
      <c r="S38" s="514" t="n">
        <f aca="false">IF(OR(ISTEXT(H38),R38=0),"",IF(R38&lt;0.1,1,IF(R38&lt;1,2,IF(R38&lt;10,3,IF(R38&lt;50,4,IF(R38&gt;=50,5,""))))))</f>
        <v>1</v>
      </c>
      <c r="T38" s="514" t="n">
        <f aca="false">IF(ISERROR(S38*J38),0,S38*J38)</f>
        <v>10</v>
      </c>
      <c r="U38" s="514" t="n">
        <f aca="false">IF(ISERROR(S38*J38*K38),0,S38*J38*K38)</f>
        <v>10</v>
      </c>
      <c r="V38" s="530" t="n">
        <f aca="false">IF(ISERROR(S38*K38),0,S38*K38)</f>
        <v>1</v>
      </c>
      <c r="W38" s="531"/>
      <c r="X38" s="532"/>
      <c r="Y38" s="517" t="str">
        <f aca="false">IF(AND(ISNUMBER(F38),OR(A38="",A38="!!!!!!")),"!!!!!!",IF(A38="new.cod","NEWCOD",IF(AND((Z38=""),ISTEXT(A38),A38&lt;&gt;"!!!!!!"),A38,IF(Z38="","",INDEX('liste reference'!$A$6:$A$1174,Z38)))))</f>
        <v>AGRSTO</v>
      </c>
      <c r="Z38" s="499" t="n">
        <f aca="false">IF(ISERROR(MATCH(A38,'liste reference'!$A$6:$A$1174,0)),IF(ISERROR(MATCH(A38,'liste reference'!$B$6:$B$1174,0)),"",(MATCH(A38,'liste reference'!$B$6:$B$1174,0))),(MATCH(A38,'liste reference'!$A$6:$A$1174,0)))</f>
        <v>623</v>
      </c>
    </row>
    <row r="39" customFormat="false" ht="12.75" hidden="false" customHeight="false" outlineLevel="0" collapsed="false">
      <c r="A39" s="518" t="s">
        <v>2118</v>
      </c>
      <c r="B39" s="519" t="n">
        <v>0.001</v>
      </c>
      <c r="C39" s="520"/>
      <c r="D39" s="521" t="str">
        <f aca="false">IF(ISERROR(VLOOKUP($A39,'liste reference'!$A$6:$B$1174,2,0)),IF(ISERROR(VLOOKUP($A39,'liste reference'!$B$6:$B$1174,1,0)),"",VLOOKUP($A39,'liste reference'!$B$6:$B$1174,1,0)),VLOOKUP($A39,'liste reference'!$A$6:$B$1174,2,0))</f>
        <v>Ludwigia grandiflora</v>
      </c>
      <c r="E39" s="522" t="e">
        <f aca="false">IF(D39="",0,VLOOKUP(D39,D$22:D38,1,0))</f>
        <v>#N/A</v>
      </c>
      <c r="F39" s="523" t="n">
        <f aca="false">IF(AND(OR(A39="",A39="!!!!!!"),B39="",C39=""),"",IF(OR(AND(B39="",C39=""),ISERROR(C39+B39)),"!!!",($B39*$B$7+$C39*$C$7)/100))</f>
        <v>0.001</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Ludwigia grandiflora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19845</v>
      </c>
      <c r="R39" s="513" t="n">
        <f aca="false">IF(ISTEXT(H39),"",(B39*$B$7/100)+(C39*$C$7/100))</f>
        <v>0.001</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LUDGRA</v>
      </c>
      <c r="Z39" s="499" t="n">
        <f aca="false">IF(ISERROR(MATCH(A39,'liste reference'!$A$6:$A$1174,0)),IF(ISERROR(MATCH(A39,'liste reference'!$B$6:$B$1174,0)),"",(MATCH(A39,'liste reference'!$B$6:$B$1174,0))),(MATCH(A39,'liste reference'!$A$6:$A$1174,0)))</f>
        <v>688</v>
      </c>
    </row>
    <row r="40" customFormat="false" ht="12.75" hidden="false" customHeight="false" outlineLevel="0" collapsed="false">
      <c r="A40" s="518" t="s">
        <v>2131</v>
      </c>
      <c r="B40" s="519" t="n">
        <v>0.0056</v>
      </c>
      <c r="C40" s="520"/>
      <c r="D40" s="521" t="str">
        <f aca="false">IF(ISERROR(VLOOKUP($A40,'liste reference'!$A$6:$B$1174,2,0)),IF(ISERROR(VLOOKUP($A40,'liste reference'!$B$6:$B$1174,1,0)),"",VLOOKUP($A40,'liste reference'!$B$6:$B$1174,1,0)),VLOOKUP($A40,'liste reference'!$A$6:$B$1174,2,0))</f>
        <v>Lycopus europaeus</v>
      </c>
      <c r="E40" s="522" t="e">
        <f aca="false">IF(D40="",0,VLOOKUP(D40,D$22:D39,1,0))</f>
        <v>#N/A</v>
      </c>
      <c r="F40" s="523" t="n">
        <f aca="false">IF(AND(OR(A40="",A40="!!!!!!"),B40="",C40=""),"",IF(OR(AND(B40="",C40=""),ISERROR(C40+B40)),"!!!",($B40*$B$7+$C40*$C$7)/100))</f>
        <v>0.0056</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Lycopus europaeus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1789</v>
      </c>
      <c r="R40" s="513" t="n">
        <f aca="false">IF(ISTEXT(H40),"",(B40*$B$7/100)+(C40*$C$7/100))</f>
        <v>0.0056</v>
      </c>
      <c r="S40" s="514" t="n">
        <f aca="false">IF(OR(ISTEXT(H40),R40=0),"",IF(R40&lt;0.1,1,IF(R40&lt;1,2,IF(R40&lt;10,3,IF(R40&lt;50,4,IF(R40&gt;=50,5,""))))))</f>
        <v>1</v>
      </c>
      <c r="T40" s="514" t="n">
        <f aca="false">IF(ISERROR(S40*J40),0,S40*J40)</f>
        <v>11</v>
      </c>
      <c r="U40" s="514" t="n">
        <f aca="false">IF(ISERROR(S40*J40*K40),0,S40*J40*K40)</f>
        <v>11</v>
      </c>
      <c r="V40" s="530" t="n">
        <f aca="false">IF(ISERROR(S40*K40),0,S40*K40)</f>
        <v>1</v>
      </c>
      <c r="W40" s="531"/>
      <c r="X40" s="532"/>
      <c r="Y40" s="517" t="str">
        <f aca="false">IF(AND(ISNUMBER(F40),OR(A40="",A40="!!!!!!")),"!!!!!!",IF(A40="new.cod","NEWCOD",IF(AND((Z40=""),ISTEXT(A40),A40&lt;&gt;"!!!!!!"),A40,IF(Z40="","",INDEX('liste reference'!$A$6:$A$1174,Z40)))))</f>
        <v>LYCEUR</v>
      </c>
      <c r="Z40" s="499" t="n">
        <f aca="false">IF(ISERROR(MATCH(A40,'liste reference'!$A$6:$A$1174,0)),IF(ISERROR(MATCH(A40,'liste reference'!$B$6:$B$1174,0)),"",(MATCH(A40,'liste reference'!$B$6:$B$1174,0))),(MATCH(A40,'liste reference'!$A$6:$A$1174,0)))</f>
        <v>692</v>
      </c>
    </row>
    <row r="41" customFormat="false" ht="12.75" hidden="false" customHeight="false" outlineLevel="0" collapsed="false">
      <c r="A41" s="518" t="s">
        <v>2135</v>
      </c>
      <c r="B41" s="519" t="n">
        <v>0.001</v>
      </c>
      <c r="C41" s="520"/>
      <c r="D41" s="521" t="str">
        <f aca="false">IF(ISERROR(VLOOKUP($A41,'liste reference'!$A$6:$B$1174,2,0)),IF(ISERROR(VLOOKUP($A41,'liste reference'!$B$6:$B$1174,1,0)),"",VLOOKUP($A41,'liste reference'!$B$6:$B$1174,1,0)),VLOOKUP($A41,'liste reference'!$A$6:$B$1174,2,0))</f>
        <v>Mentha aquatica</v>
      </c>
      <c r="E41" s="522" t="e">
        <f aca="false">IF(D41="",0,VLOOKUP(D41,D$22:D40,1,0))</f>
        <v>#N/A</v>
      </c>
      <c r="F41" s="523" t="n">
        <f aca="false">IF(AND(OR(A41="",A41="!!!!!!"),B41="",C41=""),"",IF(OR(AND(B41="",C41=""),ISERROR(C41+B41)),"!!!",($B41*$B$7+$C41*$C$7)/100))</f>
        <v>0.001</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12</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Mentha aquatica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1791</v>
      </c>
      <c r="R41" s="513" t="n">
        <f aca="false">IF(ISTEXT(H41),"",(B41*$B$7/100)+(C41*$C$7/100))</f>
        <v>0.001</v>
      </c>
      <c r="S41" s="514" t="n">
        <f aca="false">IF(OR(ISTEXT(H41),R41=0),"",IF(R41&lt;0.1,1,IF(R41&lt;1,2,IF(R41&lt;10,3,IF(R41&lt;50,4,IF(R41&gt;=50,5,""))))))</f>
        <v>1</v>
      </c>
      <c r="T41" s="514" t="n">
        <f aca="false">IF(ISERROR(S41*J41),0,S41*J41)</f>
        <v>12</v>
      </c>
      <c r="U41" s="514" t="n">
        <f aca="false">IF(ISERROR(S41*J41*K41),0,S41*J41*K41)</f>
        <v>12</v>
      </c>
      <c r="V41" s="530" t="n">
        <f aca="false">IF(ISERROR(S41*K41),0,S41*K41)</f>
        <v>1</v>
      </c>
      <c r="W41" s="531"/>
      <c r="X41" s="532"/>
      <c r="Y41" s="517" t="str">
        <f aca="false">IF(AND(ISNUMBER(F41),OR(A41="",A41="!!!!!!")),"!!!!!!",IF(A41="new.cod","NEWCOD",IF(AND((Z41=""),ISTEXT(A41),A41&lt;&gt;"!!!!!!"),A41,IF(Z41="","",INDEX('liste reference'!$A$6:$A$1174,Z41)))))</f>
        <v>MENAQU</v>
      </c>
      <c r="Z41" s="499" t="n">
        <f aca="false">IF(ISERROR(MATCH(A41,'liste reference'!$A$6:$A$1174,0)),IF(ISERROR(MATCH(A41,'liste reference'!$B$6:$B$1174,0)),"",(MATCH(A41,'liste reference'!$B$6:$B$1174,0))),(MATCH(A41,'liste reference'!$A$6:$A$1174,0)))</f>
        <v>694</v>
      </c>
    </row>
    <row r="42" customFormat="false" ht="12.75" hidden="false" customHeight="false" outlineLevel="0" collapsed="false">
      <c r="A42" s="518" t="s">
        <v>2163</v>
      </c>
      <c r="B42" s="519" t="n">
        <v>0.0003</v>
      </c>
      <c r="C42" s="520"/>
      <c r="D42" s="521" t="str">
        <f aca="false">IF(ISERROR(VLOOKUP($A42,'liste reference'!$A$6:$B$1174,2,0)),IF(ISERROR(VLOOKUP($A42,'liste reference'!$B$6:$B$1174,1,0)),"",VLOOKUP($A42,'liste reference'!$B$6:$B$1174,1,0)),VLOOKUP($A42,'liste reference'!$A$6:$B$1174,2,0))</f>
        <v>Nasturtium officinale</v>
      </c>
      <c r="E42" s="522" t="e">
        <f aca="false">IF(D42="",0,VLOOKUP(D42,D$22:D41,1,0))</f>
        <v>#N/A</v>
      </c>
      <c r="F42" s="523" t="n">
        <f aca="false">IF(AND(OR(A42="",A42="!!!!!!"),B42="",C42=""),"",IF(OR(AND(B42="",C42=""),ISERROR(C42+B42)),"!!!",($B42*$B$7+$C42*$C$7)/100))</f>
        <v>0.0003</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11</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Nasturtium officinale</v>
      </c>
      <c r="M42" s="533"/>
      <c r="N42" s="533"/>
      <c r="O42" s="533"/>
      <c r="P42" s="528" t="s">
        <v>3443</v>
      </c>
      <c r="Q42" s="529" t="n">
        <f aca="false">IF(OR($A42="NEWCOD",$A42="!!!!!!"),IF(X42="","NoCod",X42),IF($A42="","",IF(ISERROR(VLOOKUP($A42,'liste reference'!$A$6:$H$1174,8,FALSE())),IF(ISERROR(VLOOKUP($A42,'liste reference'!$B$6:$H$1174,7,FALSE())),"",VLOOKUP($A42,'liste reference'!$B$6:$H$1174,7,FALSE())),VLOOKUP($A42,'liste reference'!$A$6:$H$1174,8,FALSE()))))</f>
        <v>1763</v>
      </c>
      <c r="R42" s="513" t="n">
        <f aca="false">IF(ISTEXT(H42),"",(B42*$B$7/100)+(C42*$C$7/100))</f>
        <v>0.0003</v>
      </c>
      <c r="S42" s="514" t="n">
        <f aca="false">IF(OR(ISTEXT(H42),R42=0),"",IF(R42&lt;0.1,1,IF(R42&lt;1,2,IF(R42&lt;10,3,IF(R42&lt;50,4,IF(R42&gt;=50,5,""))))))</f>
        <v>1</v>
      </c>
      <c r="T42" s="514" t="n">
        <f aca="false">IF(ISERROR(S42*J42),0,S42*J42)</f>
        <v>11</v>
      </c>
      <c r="U42" s="514" t="n">
        <f aca="false">IF(ISERROR(S42*J42*K42),0,S42*J42*K42)</f>
        <v>11</v>
      </c>
      <c r="V42" s="530" t="n">
        <f aca="false">IF(ISERROR(S42*K42),0,S42*K42)</f>
        <v>1</v>
      </c>
      <c r="W42" s="531"/>
      <c r="X42" s="532"/>
      <c r="Y42" s="517" t="str">
        <f aca="false">IF(AND(ISNUMBER(F42),OR(A42="",A42="!!!!!!")),"!!!!!!",IF(A42="new.cod","NEWCOD",IF(AND((Z42=""),ISTEXT(A42),A42&lt;&gt;"!!!!!!"),A42,IF(Z42="","",INDEX('liste reference'!$A$6:$A$1174,Z42)))))</f>
        <v>NASOFF</v>
      </c>
      <c r="Z42" s="499" t="n">
        <f aca="false">IF(ISERROR(MATCH(A42,'liste reference'!$A$6:$A$1174,0)),IF(ISERROR(MATCH(A42,'liste reference'!$B$6:$B$1174,0)),"",(MATCH(A42,'liste reference'!$B$6:$B$1174,0))),(MATCH(A42,'liste reference'!$A$6:$A$1174,0)))</f>
        <v>704</v>
      </c>
    </row>
    <row r="43" customFormat="false" ht="12.75" hidden="false" customHeight="false" outlineLevel="0" collapsed="false">
      <c r="A43" s="518" t="s">
        <v>2259</v>
      </c>
      <c r="B43" s="519" t="n">
        <v>0.0003</v>
      </c>
      <c r="C43" s="520"/>
      <c r="D43" s="521" t="str">
        <f aca="false">IF(ISERROR(VLOOKUP($A43,'liste reference'!$A$6:$B$1174,2,0)),IF(ISERROR(VLOOKUP($A43,'liste reference'!$B$6:$B$1174,1,0)),"",VLOOKUP($A43,'liste reference'!$B$6:$B$1174,1,0)),VLOOKUP($A43,'liste reference'!$A$6:$B$1174,2,0))</f>
        <v>Veronica anagallis-aquatica</v>
      </c>
      <c r="E43" s="522" t="e">
        <f aca="false">IF(D43="",0,VLOOKUP(D43,D$22:D42,1,0))</f>
        <v>#N/A</v>
      </c>
      <c r="F43" s="523" t="n">
        <f aca="false">IF(AND(OR(A43="",A43="!!!!!!"),B43="",C43=""),"",IF(OR(AND(B43="",C43=""),ISERROR(C43+B43)),"!!!",($B43*$B$7+$C43*$C$7)/100))</f>
        <v>0.0003</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11</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Veronica anagallis-aquatica</v>
      </c>
      <c r="M43" s="527"/>
      <c r="N43" s="527"/>
      <c r="O43" s="527"/>
      <c r="P43" s="528" t="s">
        <v>3463</v>
      </c>
      <c r="Q43" s="529" t="n">
        <f aca="false">IF(OR($A43="NEWCOD",$A43="!!!!!!"),IF(X43="","NoCod",X43),IF($A43="","",IF(ISERROR(VLOOKUP($A43,'liste reference'!$A$6:$H$1174,8,FALSE())),IF(ISERROR(VLOOKUP($A43,'liste reference'!$B$6:$H$1174,7,FALSE())),"",VLOOKUP($A43,'liste reference'!$B$6:$H$1174,7,FALSE())),VLOOKUP($A43,'liste reference'!$A$6:$H$1174,8,FALSE()))))</f>
        <v>1955</v>
      </c>
      <c r="R43" s="513" t="n">
        <f aca="false">IF(ISTEXT(H43),"",(B43*$B$7/100)+(C43*$C$7/100))</f>
        <v>0.0003</v>
      </c>
      <c r="S43" s="514" t="n">
        <f aca="false">IF(OR(ISTEXT(H43),R43=0),"",IF(R43&lt;0.1,1,IF(R43&lt;1,2,IF(R43&lt;10,3,IF(R43&lt;50,4,IF(R43&gt;=50,5,""))))))</f>
        <v>1</v>
      </c>
      <c r="T43" s="514" t="n">
        <f aca="false">IF(ISERROR(S43*J43),0,S43*J43)</f>
        <v>11</v>
      </c>
      <c r="U43" s="514" t="n">
        <f aca="false">IF(ISERROR(S43*J43*K43),0,S43*J43*K43)</f>
        <v>22</v>
      </c>
      <c r="V43" s="530" t="n">
        <f aca="false">IF(ISERROR(S43*K43),0,S43*K43)</f>
        <v>2</v>
      </c>
      <c r="W43" s="531"/>
      <c r="X43" s="532"/>
      <c r="Y43" s="517" t="str">
        <f aca="false">IF(AND(ISNUMBER(F43),OR(A43="",A43="!!!!!!")),"!!!!!!",IF(A43="new.cod","NEWCOD",IF(AND((Z43=""),ISTEXT(A43),A43&lt;&gt;"!!!!!!"),A43,IF(Z43="","",INDEX('liste reference'!$A$6:$A$1174,Z43)))))</f>
        <v>VERANA</v>
      </c>
      <c r="Z43" s="499" t="n">
        <f aca="false">IF(ISERROR(MATCH(A43,'liste reference'!$A$6:$A$1174,0)),IF(ISERROR(MATCH(A43,'liste reference'!$B$6:$B$1174,0)),"",(MATCH(A43,'liste reference'!$B$6:$B$1174,0))),(MATCH(A43,'liste reference'!$A$6:$A$1174,0)))</f>
        <v>740</v>
      </c>
    </row>
    <row r="44" customFormat="false" ht="12.75" hidden="false" customHeight="false" outlineLevel="0" collapsed="false">
      <c r="A44" s="518" t="s">
        <v>2334</v>
      </c>
      <c r="B44" s="519" t="n">
        <v>0.0006</v>
      </c>
      <c r="C44" s="520"/>
      <c r="D44" s="521" t="str">
        <f aca="false">IF(ISERROR(VLOOKUP($A44,'liste reference'!$A$6:$B$1174,2,0)),IF(ISERROR(VLOOKUP($A44,'liste reference'!$B$6:$B$1174,1,0)),"",VLOOKUP($A44,'liste reference'!$B$6:$B$1174,1,0)),VLOOKUP($A44,'liste reference'!$A$6:$B$1174,2,0))</f>
        <v>Arundo donax</v>
      </c>
      <c r="E44" s="522" t="e">
        <f aca="false">IF(D44="",0,VLOOKUP(D44,D$22:D43,1,0))</f>
        <v>#N/A</v>
      </c>
      <c r="F44" s="523" t="n">
        <f aca="false">IF(AND(OR(A44="",A44="!!!!!!"),B44="",C44=""),"",IF(OR(AND(B44="",C44=""),ISERROR(C44+B44)),"!!!",($B44*$B$7+$C44*$C$7)/100))</f>
        <v>0.0006</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Arundo donax</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1551</v>
      </c>
      <c r="R44" s="513" t="n">
        <f aca="false">IF(ISTEXT(H44),"",(B44*$B$7/100)+(C44*$C$7/100))</f>
        <v>0.0006</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ARUDON</v>
      </c>
      <c r="Z44" s="499" t="n">
        <f aca="false">IF(ISERROR(MATCH(A44,'liste reference'!$A$6:$A$1174,0)),IF(ISERROR(MATCH(A44,'liste reference'!$B$6:$B$1174,0)),"",(MATCH(A44,'liste reference'!$B$6:$B$1174,0))),(MATCH(A44,'liste reference'!$A$6:$A$1174,0)))</f>
        <v>767</v>
      </c>
    </row>
    <row r="45" customFormat="false" ht="12.75" hidden="false" customHeight="false" outlineLevel="0" collapsed="false">
      <c r="A45" s="518" t="s">
        <v>2698</v>
      </c>
      <c r="B45" s="519" t="n">
        <v>0.0003</v>
      </c>
      <c r="C45" s="520"/>
      <c r="D45" s="521" t="str">
        <f aca="false">IF(ISERROR(VLOOKUP($A45,'liste reference'!$A$6:$B$1174,2,0)),IF(ISERROR(VLOOKUP($A45,'liste reference'!$B$6:$B$1174,1,0)),"",VLOOKUP($A45,'liste reference'!$B$6:$B$1174,1,0)),VLOOKUP($A45,'liste reference'!$A$6:$B$1174,2,0))</f>
        <v>Lythrum salicaria</v>
      </c>
      <c r="E45" s="522" t="e">
        <f aca="false">IF(D45="",0,VLOOKUP(D45,D$22:D44,1,0))</f>
        <v>#N/A</v>
      </c>
      <c r="F45" s="523" t="n">
        <f aca="false">IF(AND(OR(A45="",A45="!!!!!!"),B45="",C45=""),"",IF(OR(AND(B45="",C45=""),ISERROR(C45+B45)),"!!!",($B45*$B$7+$C45*$C$7)/100))</f>
        <v>0.0003</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Lythrum salicaria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1823</v>
      </c>
      <c r="R45" s="513" t="n">
        <f aca="false">IF(ISTEXT(H45),"",(B45*$B$7/100)+(C45*$C$7/100))</f>
        <v>0.0003</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LYTSAL</v>
      </c>
      <c r="Z45" s="499" t="n">
        <f aca="false">IF(ISERROR(MATCH(A45,'liste reference'!$A$6:$A$1174,0)),IF(ISERROR(MATCH(A45,'liste reference'!$B$6:$B$1174,0)),"",(MATCH(A45,'liste reference'!$B$6:$B$1174,0))),(MATCH(A45,'liste reference'!$A$6:$A$1174,0)))</f>
        <v>902</v>
      </c>
    </row>
    <row r="46" customFormat="false" ht="12.75" hidden="false" customHeight="false" outlineLevel="0" collapsed="false">
      <c r="A46" s="518" t="s">
        <v>3251</v>
      </c>
      <c r="B46" s="519" t="n">
        <v>0.001</v>
      </c>
      <c r="C46" s="520"/>
      <c r="D46" s="521" t="str">
        <f aca="false">IF(ISERROR(VLOOKUP($A46,'liste reference'!$A$6:$B$1174,2,0)),IF(ISERROR(VLOOKUP($A46,'liste reference'!$B$6:$B$1174,1,0)),"",VLOOKUP($A46,'liste reference'!$B$6:$B$1174,1,0)),VLOOKUP($A46,'liste reference'!$A$6:$B$1174,2,0))</f>
        <v>Ranunculus repens</v>
      </c>
      <c r="E46" s="522" t="e">
        <f aca="false">IF(D46="",0,VLOOKUP(D46,D$22:D45,1,0))</f>
        <v>#N/A</v>
      </c>
      <c r="F46" s="523" t="n">
        <f aca="false">IF(AND(OR(A46="",A46="!!!!!!"),B46="",C46=""),"",IF(OR(AND(B46="",C46=""),ISERROR(C46+B46)),"!!!",($B46*$B$7+$C46*$C$7)/100))</f>
        <v>0.001</v>
      </c>
      <c r="G46" s="524" t="str">
        <f aca="false">IF(A46="","",IF(ISERROR(VLOOKUP($A46,'liste reference'!$A$6:$Q$1174,9,0)),IF(ISERROR(VLOOKUP($A46,'liste reference'!$B$6:$Q$1174,8,0)),"    -",VLOOKUP($A46,'liste reference'!$B$6:$Q$1174,8,0)),VLOOKUP($A46,'liste reference'!$A$6:$Q$1174,9,0)))</f>
        <v>PHx</v>
      </c>
      <c r="H46" s="525" t="n">
        <f aca="false">IF(A46="","x",IF(ISERROR(VLOOKUP($A46,'liste reference'!$A$6:$Q$1174,10,0)),IF(ISERROR(VLOOKUP($A46,'liste reference'!$B$6:$Q$1174,9,0)),"x",VLOOKUP($A46,'liste reference'!$B$6:$Q$1174,9,0)),VLOOKUP($A46,'liste reference'!$A$6:$Q$1174,10,0)))</f>
        <v>10</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Ranunculus repens</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1910</v>
      </c>
      <c r="R46" s="513" t="n">
        <f aca="false">IF(ISTEXT(H46),"",(B46*$B$7/100)+(C46*$C$7/100))</f>
        <v>0.001</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RANREP</v>
      </c>
      <c r="Z46" s="499" t="n">
        <f aca="false">IF(ISERROR(MATCH(A46,'liste reference'!$A$6:$A$1174,0)),IF(ISERROR(MATCH(A46,'liste reference'!$B$6:$B$1174,0)),"",(MATCH(A46,'liste reference'!$B$6:$B$1174,0))),(MATCH(A46,'liste reference'!$A$6:$A$1174,0)))</f>
        <v>1128</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4.5688</v>
      </c>
      <c r="G83" s="452"/>
      <c r="H83" s="452"/>
      <c r="I83" s="452"/>
      <c r="J83" s="452"/>
      <c r="K83" s="452"/>
      <c r="L83" s="452"/>
      <c r="M83" s="514"/>
      <c r="N83" s="514"/>
      <c r="O83" s="514"/>
      <c r="P83" s="514"/>
      <c r="Q83" s="514"/>
      <c r="R83" s="514"/>
      <c r="S83" s="514"/>
      <c r="T83" s="514"/>
      <c r="U83" s="514"/>
      <c r="V83" s="514" t="n">
        <f aca="false">SUM(V23:V82)</f>
        <v>32</v>
      </c>
      <c r="W83" s="514"/>
      <c r="X83" s="552"/>
      <c r="Y83" s="552"/>
      <c r="Z83" s="553"/>
    </row>
    <row r="84" customFormat="false" ht="12.75" hidden="true" customHeight="false" outlineLevel="0" collapsed="false">
      <c r="A84" s="547" t="str">
        <f aca="false">A3</f>
        <v>Argens</v>
      </c>
      <c r="B84" s="481" t="str">
        <f aca="false">C3</f>
        <v>Roquebrune sur Argens</v>
      </c>
      <c r="C84" s="554" t="str">
        <f aca="false">A4</f>
        <v>(Date)</v>
      </c>
      <c r="D84" s="555" t="n">
        <f aca="false">IF(OR(ISERROR(SUM($U$23:$U$82)/SUM($V$23:$V$82)),F7&lt;&gt;100),-1,SUM($U$23:$U$82)/SUM($V$23:$V$82))</f>
        <v>8.59375</v>
      </c>
      <c r="E84" s="556" t="n">
        <f aca="false">O13</f>
        <v>24</v>
      </c>
      <c r="F84" s="481" t="n">
        <f aca="false">O14</f>
        <v>18</v>
      </c>
      <c r="G84" s="481" t="n">
        <f aca="false">O15</f>
        <v>11</v>
      </c>
      <c r="H84" s="481" t="n">
        <f aca="false">O16</f>
        <v>6</v>
      </c>
      <c r="I84" s="481" t="n">
        <f aca="false">O17</f>
        <v>1</v>
      </c>
      <c r="J84" s="557" t="n">
        <f aca="false">O8</f>
        <v>9.77777777777778</v>
      </c>
      <c r="K84" s="558" t="n">
        <f aca="false">O9</f>
        <v>2.77999911182151</v>
      </c>
      <c r="L84" s="559" t="n">
        <f aca="false">O10</f>
        <v>4</v>
      </c>
      <c r="M84" s="559" t="n">
        <f aca="false">O11</f>
        <v>13</v>
      </c>
      <c r="N84" s="558" t="n">
        <f aca="false">P8</f>
        <v>1.44444444444444</v>
      </c>
      <c r="O84" s="558" t="n">
        <f aca="false">P9</f>
        <v>0.598351645237167</v>
      </c>
      <c r="P84" s="559" t="n">
        <f aca="false">P10</f>
        <v>1</v>
      </c>
      <c r="Q84" s="559" t="n">
        <f aca="false">P11</f>
        <v>3</v>
      </c>
      <c r="R84" s="559" t="n">
        <f aca="false">F21</f>
        <v>4.5688</v>
      </c>
      <c r="S84" s="559" t="n">
        <f aca="false">L11</f>
        <v>0</v>
      </c>
      <c r="T84" s="559" t="n">
        <f aca="false">L12</f>
        <v>11</v>
      </c>
      <c r="U84" s="559" t="n">
        <f aca="false">L13</f>
        <v>1</v>
      </c>
      <c r="V84" s="560" t="n">
        <f aca="false">L15</f>
        <v>12</v>
      </c>
      <c r="W84" s="561" t="n">
        <f aca="false">L15</f>
        <v>12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12</v>
      </c>
      <c r="U87" s="309"/>
      <c r="V87" s="309"/>
    </row>
    <row r="88" customFormat="false" ht="12.75" hidden="true" customHeight="false" outlineLevel="0" collapsed="false">
      <c r="C88" s="563"/>
      <c r="D88" s="563"/>
      <c r="E88" s="563"/>
      <c r="R88" s="309" t="s">
        <v>3446</v>
      </c>
      <c r="S88" s="309"/>
      <c r="T88" s="565" t="n">
        <f aca="false">VLOOKUP($T$91,($A$23:$U$82),21,FALSE())</f>
        <v>36</v>
      </c>
      <c r="U88" s="309"/>
      <c r="V88" s="309" t="n">
        <f aca="false">COUNTIF(V23:V82,T89)</f>
        <v>1</v>
      </c>
    </row>
    <row r="89" customFormat="false" ht="12.75" hidden="true" customHeight="false" outlineLevel="0" collapsed="false">
      <c r="C89" s="563"/>
      <c r="D89" s="563"/>
      <c r="E89" s="563"/>
      <c r="R89" s="309" t="s">
        <v>3447</v>
      </c>
      <c r="S89" s="309"/>
      <c r="T89" s="565" t="n">
        <f aca="false">MAX($V$23:$V$82)</f>
        <v>9</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10.3913043478261</v>
      </c>
      <c r="U90" s="309" t="n">
        <f aca="false">IF(ISERROR(T90),0,1)</f>
        <v>1</v>
      </c>
    </row>
    <row r="91" customFormat="false" ht="12.75" hidden="true" customHeight="false" outlineLevel="0" collapsed="false">
      <c r="C91" s="563"/>
      <c r="D91" s="563"/>
      <c r="E91" s="563"/>
      <c r="R91" s="514" t="s">
        <v>3450</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3451</v>
      </c>
      <c r="S92" s="309"/>
      <c r="T92" s="309" t="n">
        <f aca="false">MATCH(T89,$V$23:$V$82,0)</f>
        <v>15</v>
      </c>
      <c r="U92" s="309"/>
    </row>
    <row r="93" customFormat="false" ht="12.75" hidden="true" customHeight="false" outlineLevel="0" collapsed="false">
      <c r="C93" s="563"/>
      <c r="D93" s="563"/>
      <c r="E93" s="563"/>
      <c r="R93" s="514" t="s">
        <v>3452</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3477</v>
      </c>
      <c r="G20" s="8"/>
      <c r="H20" s="605" t="s">
        <v>3477</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3459</v>
      </c>
      <c r="G23" s="8"/>
      <c r="H23" s="605" t="s">
        <v>3459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3481</v>
      </c>
      <c r="G25" s="8"/>
      <c r="H25" s="605" t="s">
        <v>3481</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3487</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2016-04-14T14:29:40Z</dcterms:modified>
  <cp:revision>0</cp:revision>
  <dc:subject/>
  <dc:title>Feuille d'aide au calcul de l'IBMR</dc:title>
</cp:coreProperties>
</file>