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07000" sheetId="6" state="visible" r:id="rId8"/>
    <sheet name="modele" sheetId="7" state="hidden" r:id="rId9"/>
    <sheet name="liste codes réf" sheetId="8" state="hidden" r:id="rId10"/>
  </sheets>
  <definedNames>
    <definedName function="false" hidden="false" localSheetId="5" name="_xlnm.Print_Area" vbProcedure="false">'06207000'!$A$1:$O$82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'06207000'!$A$23:$J$84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<sst xmlns="http://schemas.openxmlformats.org/spreadsheetml/2006/main" count="7361" uniqueCount="2731">
  <si>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</si>
  <si>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</si>
  <si>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</si>
  <si>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</si>
  <si>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</si>
  <si>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</si>
  <si>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</si>
  <si>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</si>
  <si>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</si>
  <si>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</si>
  <si>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</si>
  <si>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</si>
  <si>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</si>
  <si>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</si>
  <si>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</si>
  <si>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</si>
  <si>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</si>
  <si>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</si>
  <si>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</si>
  <si>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</si>
  <si>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</si>
  <si>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</si>
  <si>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</si>
  <si>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</si>
  <si>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</si>
  <si>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</si>
  <si>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</si>
  <si>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</si>
  <si>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</si>
  <si>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</si>
  <si>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</si>
  <si>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</si>
  <si>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</si>
  <si>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</si>
  <si>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</si>
  <si>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</si>
  <si>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</si>
  <si>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</si>
  <si>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</si>
  <si>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</si>
  <si>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</si>
  <si>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</si>
  <si>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</si>
  <si>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</si>
  <si>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</si>
  <si>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</si>
  <si>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</si>
  <si>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</si>
  <si>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</si>
  <si>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</si>
  <si>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</si>
  <si>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</si>
  <si>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</si>
  <si>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</si>
  <si>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</si>
  <si>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</si>
  <si>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</si>
  <si>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</si>
  <si>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</si>
  <si>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</si>
  <si>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</si>
  <si>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</si>
  <si>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</si>
  <si>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</si>
  <si>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</si>
  <si>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</si>
  <si>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</si>
  <si>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</si>
  <si>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</si>
  <si>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</si>
  <si>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</si>
  <si>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</si>
  <si>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</si>
  <si>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</si>
  <si>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</si>
  <si>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</si>
  <si>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</si>
  <si>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</si>
  <si>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</si>
  <si>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</si>
  <si>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</si>
  <si>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</si>
  <si>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</si>
  <si>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</si>
  <si>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</si>
  <si>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</si>
  <si>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</si>
  <si>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</si>
  <si>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</si>
  <si>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</si>
  <si>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</si>
  <si>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</si>
  <si>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</si>
  <si>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</si>
  <si>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</si>
  <si>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</si>
  <si>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</si>
  <si>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</si>
  <si>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</si>
  <si>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</si>
  <si>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</si>
  <si>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</si>
  <si>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</si>
  <si>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</si>
  <si>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</si>
  <si>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</si>
  <si>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</si>
  <si>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</si>
  <si>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</si>
  <si>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</si>
  <si>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</si>
  <si>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</si>
  <si>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</si>
  <si>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</si>
  <si>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</si>
  <si>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</si>
  <si>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</si>
  <si>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</si>
  <si>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</si>
  <si>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</si>
  <si>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</si>
  <si>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</si>
  <si>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</si>
  <si>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</si>
  <si>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</si>
  <si>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</si>
  <si>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</si>
  <si>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</si>
  <si>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</si>
  <si>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</si>
  <si>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</si>
  <si>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</si>
  <si>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</si>
  <si>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</si>
  <si>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</si>
  <si>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</si>
  <si>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</si>
  <si>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</si>
  <si>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</si>
  <si>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</si>
  <si>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</si>
  <si>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</si>
  <si>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</si>
  <si>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</si>
  <si>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</si>
  <si>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</si>
  <si>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</si>
  <si>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</si>
  <si>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</si>
  <si>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</si>
  <si>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</si>
  <si>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</si>
  <si>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</si>
  <si>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</si>
  <si>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</si>
  <si>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</si>
  <si>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</si>
  <si>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</si>
  <si>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</si>
  <si>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</si>
  <si>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</si>
  <si>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</si>
  <si>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</si>
  <si>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</si>
  <si>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</si>
  <si>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</si>
  <si>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</si>
  <si>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</si>
  <si>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</si>
  <si>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</si>
  <si>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</si>
  <si>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</si>
  <si>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</si>
  <si>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</si>
  <si>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</si>
  <si>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</si>
  <si>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</si>
  <si>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</si>
  <si>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</si>
  <si>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</si>
  <si>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</si>
  <si>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</si>
  <si>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</si>
  <si>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</si>
  <si>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</si>
  <si>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</si>
  <si>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</si>
  <si>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</si>
  <si>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</si>
  <si>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</si>
  <si>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</si>
  <si>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</si>
  <si>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</si>
  <si>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</si>
  <si>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</si>
  <si>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</si>
  <si>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</si>
  <si>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</si>
  <si>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</si>
  <si>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</si>
  <si>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</si>
  <si>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</si>
  <si>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</si>
  <si>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</si>
  <si>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</si>
  <si>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</si>
  <si>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</si>
  <si>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</si>
  <si>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</si>
  <si>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</si>
  <si>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</si>
  <si>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</si>
  <si>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</si>
  <si>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</si>
  <si>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</si>
  <si>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</si>
  <si>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</si>
  <si>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</si>
  <si>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</si>
  <si>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</si>
  <si>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</si>
  <si>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</si>
  <si>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</si>
  <si>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</si>
  <si>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</si>
  <si>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</si>
  <si>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</si>
  <si>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</si>
  <si>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</si>
  <si>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</si>
  <si>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</si>
  <si>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</si>
  <si>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</si>
  <si>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</si>
  <si>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</si>
  <si>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</si>
  <si>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</si>
  <si>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</si>
  <si>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</si>
  <si>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</si>
  <si>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</si>
  <si>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</si>
  <si>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</si>
  <si>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</si>
  <si>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</si>
  <si>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</si>
  <si>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</si>
  <si>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</si>
  <si>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</si>
  <si>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</si>
  <si>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</si>
  <si>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</si>
  <si>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</si>
  <si>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</si>
  <si>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</si>
  <si>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</si>
  <si>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</si>
  <si>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</si>
  <si>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</si>
  <si>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</si>
  <si>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</si>
  <si>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</si>
  <si>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</si>
  <si>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</si>
  <si>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</si>
  <si>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</si>
  <si>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</si>
  <si>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</si>
  <si>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</si>
  <si>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</si>
  <si>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</si>
  <si>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</si>
  <si>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</si>
  <si>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</si>
  <si>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</si>
  <si>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</si>
  <si>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</si>
  <si>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</si>
  <si>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</si>
  <si>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</si>
  <si>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</si>
  <si>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</si>
  <si>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</si>
  <si>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</si>
  <si>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</si>
  <si>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</si>
  <si>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</si>
  <si>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</si>
  <si>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</si>
  <si>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</si>
  <si>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</si>
  <si>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</si>
  <si>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</si>
  <si>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</si>
  <si>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</si>
  <si>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</si>
  <si>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</si>
  <si>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</si>
  <si>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</si>
  <si>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</si>
  <si>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</si>
  <si>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</si>
  <si>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</si>
  <si>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</si>
  <si>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</si>
  <si>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</si>
  <si>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</si>
  <si>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</si>
  <si>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</si>
  <si>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</si>
  <si>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</si>
  <si>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</si>
  <si>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</si>
  <si>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</si>
  <si>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</si>
  <si>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</si>
  <si>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</si>
  <si>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</si>
  <si>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</si>
  <si>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</si>
  <si>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</si>
  <si>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</si>
  <si>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</si>
  <si>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</si>
  <si>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</si>
  <si>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</si>
  <si>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</si>
  <si>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</si>
  <si>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</si>
  <si>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</si>
  <si>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</si>
  <si>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</si>
  <si>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</si>
  <si>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</si>
  <si>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</si>
  <si>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</si>
  <si>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</si>
  <si>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</si>
  <si>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</si>
  <si>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</si>
  <si>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</si>
  <si>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</si>
  <si>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</si>
  <si>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</si>
  <si>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</si>
  <si>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</si>
  <si>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</si>
  <si>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</si>
  <si>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</si>
  <si>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</si>
  <si>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</si>
  <si>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</si>
  <si>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</si>
  <si>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</si>
  <si>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</si>
  <si>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</si>
  <si>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</si>
  <si>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</si>
  <si>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</si>
  <si>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</si>
  <si>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</si>
  <si>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</si>
  <si>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</si>
  <si>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</si>
  <si>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</si>
  <si>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</si>
  <si>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</si>
  <si>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</si>
  <si>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</si>
  <si>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</si>
  <si>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</si>
  <si>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</si>
  <si>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</si>
  <si>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</si>
  <si>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</si>
  <si>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</si>
  <si>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</si>
  <si>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</si>
  <si>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</si>
  <si>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</si>
  <si>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</si>
  <si>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</si>
  <si>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</si>
  <si>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</si>
  <si>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</si>
  <si>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</si>
  <si>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</si>
  <si>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</si>
  <si>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</si>
  <si>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</si>
  <si>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</si>
  <si>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</si>
  <si>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</si>
  <si>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</si>
  <si>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</si>
  <si>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</si>
  <si>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</si>
  <si>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</si>
  <si>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</si>
  <si>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</si>
  <si>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</si>
  <si>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</si>
  <si>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</si>
  <si>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</si>
  <si>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</si>
  <si>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</si>
  <si>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</si>
  <si>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</si>
  <si>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</si>
  <si>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</si>
  <si>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</si>
  <si>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</si>
  <si>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</si>
  <si>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</si>
  <si>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</si>
  <si>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</si>
  <si>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</si>
  <si>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</si>
  <si>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</si>
  <si>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</si>
  <si>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</si>
  <si>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</si>
  <si>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</si>
  <si>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</si>
  <si>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</si>
  <si>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</si>
  <si>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</si>
  <si>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</si>
  <si>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</si>
  <si>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</si>
  <si>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</si>
  <si>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</si>
  <si>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</si>
  <si>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</si>
  <si>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</si>
  <si>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</si>
  <si>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</si>
  <si>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</si>
  <si>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</si>
  <si>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</si>
  <si>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</si>
  <si>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</si>
  <si>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</si>
  <si>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</si>
  <si>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</si>
  <si>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</si>
  <si>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</si>
  <si>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</si>
  <si>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</si>
  <si>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</si>
  <si>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</si>
  <si>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</si>
  <si>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</si>
  <si>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</si>
  <si>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</si>
  <si>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</si>
  <si>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</si>
  <si>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</si>
  <si>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</si>
  <si>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</si>
  <si>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</si>
  <si>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</si>
  <si>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</si>
  <si>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</si>
  <si>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</si>
  <si>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</si>
  <si>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</si>
  <si>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</si>
  <si>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</si>
  <si>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</si>
  <si>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</si>
  <si>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</si>
  <si>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</si>
  <si>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</si>
  <si>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</si>
  <si>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</si>
  <si>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</si>
  <si>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</si>
  <si>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</si>
  <si>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</si>
  <si>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</si>
  <si>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</si>
  <si>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</si>
  <si>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</si>
  <si>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</si>
  <si>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</si>
  <si>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</si>
  <si>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</si>
  <si>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</si>
  <si>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</si>
  <si>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</si>
  <si>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</si>
  <si>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</si>
  <si>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</si>
  <si>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</si>
  <si>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</si>
  <si>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</si>
  <si>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</si>
  <si>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</si>
  <si>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</si>
  <si>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</si>
  <si>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</si>
  <si>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</si>
  <si>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</si>
  <si>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</si>
  <si>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</si>
  <si>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</si>
  <si>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</si>
  <si>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</si>
  <si>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</si>
  <si>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</si>
  <si>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</si>
  <si>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</si>
  <si>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</si>
  <si>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</si>
  <si>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</si>
  <si>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</si>
  <si>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</si>
  <si>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</si>
  <si>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</si>
  <si>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</si>
  <si>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</si>
  <si>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</si>
  <si>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</si>
  <si>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</si>
  <si>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</si>
  <si>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</si>
  <si>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</si>
  <si>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</si>
  <si>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</si>
  <si>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</si>
  <si>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</si>
  <si>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</si>
  <si>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</si>
  <si>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</si>
  <si>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</si>
  <si>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</si>
  <si>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</si>
  <si>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</si>
  <si>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</si>
  <si>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</si>
  <si>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</si>
  <si>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</si>
  <si>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</si>
  <si>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</si>
  <si>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</si>
  <si>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</si>
  <si>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</si>
  <si>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</si>
  <si>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</si>
  <si>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</si>
  <si>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</si>
  <si>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</si>
  <si>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</si>
  <si>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</si>
  <si>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</si>
  <si>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</si>
  <si>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</si>
  <si>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</si>
  <si>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</si>
  <si>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</si>
  <si>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</si>
  <si>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</si>
  <si>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</si>
  <si>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</si>
  <si>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</si>
  <si>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</si>
  <si>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</si>
  <si>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</si>
  <si>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</si>
  <si>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</si>
  <si>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</si>
  <si>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</si>
  <si>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</si>
  <si>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</si>
  <si>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</si>
  <si>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</si>
  <si>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</si>
  <si>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</si>
  <si>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</si>
  <si>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</si>
  <si>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</si>
  <si>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</si>
  <si>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</si>
  <si>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</si>
  <si>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</si>
  <si>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</si>
  <si>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</si>
  <si>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</si>
  <si>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</si>
  <si>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</si>
  <si>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</si>
  <si>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</si>
  <si>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</si>
  <si>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</si>
  <si>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</si>
  <si>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</si>
  <si>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</si>
  <si>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</si>
  <si>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</si>
  <si>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</si>
  <si>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</si>
  <si>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</si>
  <si>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</si>
  <si>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</si>
  <si>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</si>
  <si>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</si>
  <si>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</si>
  <si>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</si>
  <si>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</si>
  <si>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</si>
  <si>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</si>
  <si>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</si>
  <si>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</si>
  <si>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</si>
  <si>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</si>
  <si>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</si>
  <si>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</si>
  <si>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</si>
  <si>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</si>
  <si>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</si>
  <si>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</si>
  <si>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</si>
  <si>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</si>
  <si>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</si>
  <si>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</si>
  <si>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</si>
  <si>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</si>
  <si>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</si>
  <si>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</si>
  <si>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</si>
  <si>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</si>
  <si>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</si>
  <si>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</si>
  <si>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</si>
  <si>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</si>
  <si>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</si>
  <si>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</si>
  <si>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</si>
  <si>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</si>
  <si>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</si>
  <si>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</si>
  <si>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</si>
  <si>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</si>
  <si>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</si>
  <si>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</si>
  <si>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</si>
  <si>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</si>
  <si>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</si>
  <si>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</si>
  <si>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</si>
  <si>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</si>
  <si>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</si>
  <si>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</si>
  <si>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</si>
  <si>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</si>
  <si>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</si>
  <si>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</si>
  <si>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</si>
  <si>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</si>
  <si>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</si>
  <si>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</si>
  <si>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</si>
  <si>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</si>
  <si>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</si>
  <si>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</si>
  <si>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</si>
  <si>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</si>
  <si>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</si>
  <si>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</si>
  <si>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</si>
  <si>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</si>
  <si>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</si>
  <si>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</si>
  <si>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</si>
  <si>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</si>
  <si>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</si>
  <si>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</si>
  <si>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</si>
  <si>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</si>
  <si>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</si>
  <si>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</si>
  <si>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</si>
  <si>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</si>
  <si>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</si>
  <si>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</si>
  <si>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</si>
  <si>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</si>
  <si>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</si>
  <si>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</si>
  <si>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</si>
  <si>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</si>
  <si>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</si>
  <si>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</si>
  <si>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</si>
  <si>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</si>
  <si>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</si>
  <si>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</si>
  <si>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</si>
  <si>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</si>
  <si>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</si>
  <si>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</si>
  <si>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</si>
  <si>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</si>
  <si>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</si>
  <si>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</si>
  <si>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</si>
  <si>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</si>
  <si>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</si>
  <si>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</si>
  <si>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</si>
  <si>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</si>
  <si>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</si>
  <si>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</si>
  <si>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</si>
  <si>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</si>
  <si>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</si>
  <si>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</si>
  <si>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</si>
  <si>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</si>
  <si>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</si>
  <si>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</si>
  <si>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</si>
  <si>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</si>
  <si>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</si>
  <si>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</si>
  <si>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</si>
  <si>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</si>
  <si>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</si>
  <si>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</si>
  <si>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</si>
  <si>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</si>
  <si>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</si>
  <si>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</si>
  <si>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</si>
  <si>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</si>
  <si>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</si>
  <si>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</si>
  <si>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</si>
  <si>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</si>
  <si>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</si>
  <si>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</si>
  <si>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</si>
  <si>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</si>
  <si>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</si>
  <si>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</si>
  <si>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</si>
  <si>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</si>
  <si>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</si>
  <si>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</si>
  <si>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</si>
  <si>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</si>
  <si>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</si>
  <si>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</si>
  <si>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</si>
  <si>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</si>
  <si>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</si>
  <si>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</si>
  <si>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</si>
  <si>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</si>
  <si>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</si>
  <si>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</si>
  <si>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</si>
  <si>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</si>
  <si>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</si>
  <si>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</si>
  <si>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</si>
  <si>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</si>
  <si>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</si>
  <si>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</si>
  <si>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</si>
  <si>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</si>
  <si>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</si>
  <si>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</si>
  <si>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</si>
  <si>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</si>
  <si>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</si>
  <si>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</si>
  <si>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</si>
  <si>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</si>
  <si>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</si>
  <si>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</si>
  <si>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</si>
  <si>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</si>
  <si>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</si>
  <si>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</si>
  <si>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</si>
  <si>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</si>
  <si>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</si>
  <si>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</si>
  <si>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</si>
  <si>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</si>
  <si>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</si>
  <si>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</si>
  <si>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</si>
  <si>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</si>
  <si>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</si>
  <si>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</si>
  <si>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</si>
  <si>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</si>
  <si>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</si>
  <si>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</si>
  <si>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</si>
  <si>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</si>
  <si>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</si>
  <si>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</si>
  <si>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</si>
  <si>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</si>
  <si>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</si>
  <si>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</si>
  <si>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</si>
  <si>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</si>
  <si>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</si>
  <si>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</si>
  <si>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</si>
  <si>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</si>
  <si>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</si>
  <si>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</si>
  <si>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</si>
  <si>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</si>
  <si>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</si>
  <si>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</si>
  <si>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</si>
  <si>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</si>
  <si>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</si>
  <si>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</si>
  <si>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</si>
  <si>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</si>
  <si>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</si>
  <si>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</si>
  <si>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</si>
  <si>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</si>
  <si>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</si>
  <si>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</si>
  <si>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</si>
  <si>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</si>
  <si>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</si>
  <si>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</si>
  <si>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</si>
  <si>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</si>
  <si>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</si>
  <si>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</si>
  <si>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</si>
  <si>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</si>
  <si>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</si>
  <si>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</si>
  <si>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</si>
  <si>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</si>
  <si>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</si>
  <si>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</si>
  <si>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</si>
  <si>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</si>
  <si>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</si>
  <si>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</si>
  <si>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</si>
  <si>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</si>
  <si>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</si>
  <si>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</si>
  <si>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</si>
  <si>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</si>
  <si>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</si>
  <si>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</si>
  <si>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</si>
  <si>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</si>
  <si>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</si>
  <si>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</si>
  <si>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</si>
  <si>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</si>
  <si>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</si>
  <si>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</si>
  <si>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</si>
  <si>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</si>
  <si>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</si>
  <si>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</si>
  <si>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</si>
  <si>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</si>
  <si>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</si>
  <si>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</si>
  <si>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</si>
  <si>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</si>
  <si>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</si>
  <si>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</si>
  <si>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</si>
  <si>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</si>
  <si>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</si>
  <si>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</si>
  <si>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</si>
  <si>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</si>
  <si>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</si>
  <si>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</si>
  <si>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</si>
  <si>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</si>
  <si>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</si>
  <si>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</si>
  <si>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</si>
  <si>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</si>
  <si>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</si>
  <si>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</si>
  <si>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</si>
  <si>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</si>
  <si>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</si>
  <si>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</si>
  <si>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</si>
  <si>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</si>
  <si>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</si>
  <si>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</si>
  <si>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</si>
  <si>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</si>
  <si>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</si>
  <si>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</si>
  <si>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</si>
  <si>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</si>
  <si>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</si>
  <si>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</si>
  <si>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</si>
  <si>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</si>
  <si>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</si>
  <si>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</si>
  <si>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</si>
  <si>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</si>
  <si>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</si>
  <si>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</si>
  <si>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</si>
  <si>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</si>
  <si>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</si>
  <si>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</si>
  <si>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</si>
  <si>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</si>
  <si>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</si>
  <si>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</si>
  <si>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</si>
  <si>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</si>
  <si>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</si>
  <si>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</si>
  <si>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</si>
  <si>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</si>
  <si>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</si>
  <si>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</si>
  <si>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</si>
  <si>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</si>
  <si>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</si>
  <si>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</si>
  <si>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</si>
  <si>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</si>
  <si>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</si>
  <si>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</si>
  <si>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</si>
  <si>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</si>
  <si>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</si>
  <si>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</si>
  <si>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</si>
  <si>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</si>
  <si>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</si>
  <si>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</si>
  <si>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</si>
  <si>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</si>
  <si>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</si>
  <si>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</si>
  <si>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</si>
  <si>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</si>
  <si>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</si>
  <si>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</si>
  <si>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</si>
  <si>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</si>
  <si>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</si>
  <si>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</si>
  <si>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</si>
  <si>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</si>
  <si>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</si>
  <si>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</si>
  <si>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</si>
  <si>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</si>
  <si>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</si>
  <si>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</si>
  <si>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</si>
  <si>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</si>
  <si>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</si>
  <si>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</si>
  <si>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</si>
  <si>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</si>
  <si>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</si>
  <si>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</si>
  <si>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</si>
  <si>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</si>
  <si>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</si>
  <si>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</si>
  <si>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</si>
  <si>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</si>
  <si>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</si>
  <si>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</si>
  <si>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</si>
  <si>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</si>
  <si>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</si>
  <si>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</si>
  <si>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</si>
  <si>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</si>
  <si>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</si>
  <si>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</si>
  <si>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</si>
  <si>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</si>
  <si>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</si>
  <si>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</si>
  <si>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</si>
  <si>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</si>
  <si>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</si>
  <si>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</si>
  <si>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</si>
  <si>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</si>
  <si>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</si>
  <si>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</si>
  <si>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</si>
  <si>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</si>
  <si>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</si>
  <si>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</si>
  <si>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</si>
  <si>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</si>
  <si>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</si>
  <si>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</si>
  <si>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</si>
  <si>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</si>
  <si>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</si>
  <si>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</si>
  <si>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</si>
  <si>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</si>
  <si>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</si>
  <si>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</si>
  <si>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</si>
  <si>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</si>
  <si>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</si>
  <si>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</si>
  <si>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</si>
  <si>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</si>
  <si>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</si>
  <si>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</si>
  <si>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</si>
  <si>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</si>
  <si>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</si>
  <si>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</si>
  <si>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</si>
  <si>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</si>
  <si>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</si>
  <si>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</si>
  <si>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</si>
  <si>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</si>
  <si>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</si>
  <si>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</si>
  <si>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</si>
  <si>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</si>
  <si>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</si>
  <si>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</si>
  <si>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</si>
  <si>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</si>
  <si>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</si>
  <si>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</si>
  <si>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</si>
  <si>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</si>
  <si>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</si>
  <si>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</si>
  <si>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</si>
  <si>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</si>
  <si>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</si>
  <si>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</si>
  <si>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</si>
  <si>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</si>
  <si>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</si>
  <si>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</si>
  <si>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</si>
  <si>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</si>
  <si>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</si>
  <si>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</si>
  <si>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</si>
  <si>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</si>
  <si>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</si>
  <si>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</si>
  <si>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</si>
  <si>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</si>
  <si>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</si>
  <si>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</si>
  <si>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</si>
  <si>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</si>
  <si>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</si>
  <si>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</si>
  <si>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</si>
  <si>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</si>
  <si>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</si>
  <si>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</si>
  <si>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</si>
  <si>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</si>
  <si>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</si>
  <si>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</si>
  <si>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</si>
  <si>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</si>
  <si>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</si>
  <si>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</si>
  <si>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</si>
  <si>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</si>
  <si>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</si>
  <si>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</si>
  <si>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</si>
  <si>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</si>
  <si>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</si>
  <si>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</si>
  <si>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</si>
  <si>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</si>
  <si>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</si>
  <si>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</si>
  <si>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</si>
  <si>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</si>
  <si>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</si>
  <si>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</si>
  <si>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</si>
  <si>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</si>
  <si>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</si>
  <si>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</si>
  <si>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</si>
  <si>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</si>
  <si>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</si>
  <si>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</si>
  <si>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</si>
  <si>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</si>
  <si>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</si>
  <si>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</si>
  <si>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</si>
  <si>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</si>
  <si>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</si>
  <si>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</si>
  <si>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</si>
  <si>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</si>
  <si>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</si>
  <si>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</si>
  <si>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</si>
  <si>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</si>
  <si>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</si>
  <si>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</si>
  <si>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</si>
  <si>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</si>
  <si>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</si>
  <si>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</si>
  <si>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</si>
  <si>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</si>
  <si>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</si>
  <si>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</si>
  <si>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</si>
  <si>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</si>
  <si>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</si>
  <si>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</si>
  <si>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</si>
  <si>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</si>
  <si>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</si>
  <si>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</si>
  <si>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</si>
  <si>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</si>
  <si>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</si>
  <si>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</si>
  <si>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</si>
  <si>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</si>
  <si>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</si>
  <si>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</si>
  <si>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</si>
  <si>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</si>
  <si>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</si>
  <si>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</si>
  <si>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</si>
  <si>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</si>
  <si>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</si>
  <si>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</si>
  <si>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</si>
  <si>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</si>
  <si>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</si>
  <si>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</si>
  <si>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</si>
  <si>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</si>
  <si>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</si>
  <si>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</si>
  <si>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</si>
  <si>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</si>
  <si>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</si>
  <si>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</si>
  <si>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</si>
  <si>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</si>
  <si>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</si>
  <si>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</si>
  <si>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</si>
  <si>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</si>
  <si>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</si>
  <si>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</si>
  <si>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</si>
  <si>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</si>
  <si>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</si>
  <si>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</si>
  <si>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</si>
  <si>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</si>
  <si>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</si>
  <si>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</si>
  <si>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</si>
  <si>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</si>
  <si>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</si>
  <si>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</si>
  <si>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</si>
  <si>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</si>
  <si>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</si>
  <si>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</si>
  <si>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</si>
  <si>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</si>
  <si>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</si>
  <si>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</si>
  <si>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</si>
  <si>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</si>
  <si>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</si>
  <si>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</si>
  <si>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</si>
  <si>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</si>
  <si>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</si>
  <si>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</si>
  <si>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</si>
  <si>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</si>
  <si>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</si>
  <si>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</si>
  <si>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</si>
  <si>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</si>
  <si>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</si>
  <si>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</si>
  <si>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</si>
  <si>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</si>
  <si>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</si>
  <si>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</si>
  <si>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</si>
  <si>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</si>
  <si>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</si>
  <si>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</si>
  <si>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</si>
  <si>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</si>
  <si>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</si>
  <si>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</si>
  <si>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</si>
  <si>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</si>
  <si>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</si>
  <si>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</si>
  <si>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</si>
  <si>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</si>
  <si>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</si>
  <si>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</si>
  <si>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</si>
  <si>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</si>
  <si>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</si>
  <si>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</si>
  <si>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</si>
  <si>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</si>
  <si>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</si>
  <si>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</si>
  <si>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</si>
  <si>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</si>
  <si>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</si>
  <si>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</si>
  <si>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</si>
  <si>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</si>
  <si>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</si>
  <si>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</si>
  <si>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</si>
  <si>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</si>
  <si>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</si>
  <si>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</si>
  <si>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</si>
  <si>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</si>
  <si>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</si>
  <si>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</si>
  <si>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</si>
  <si>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</si>
  <si>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</si>
  <si>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</si>
  <si>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</si>
  <si>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</si>
  <si>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</si>
  <si>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</si>
  <si>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</si>
  <si>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</si>
  <si>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</si>
  <si>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</si>
  <si>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</si>
  <si>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</si>
  <si>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</si>
  <si>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</si>
  <si>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</si>
  <si>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</si>
  <si>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</si>
  <si>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</si>
  <si>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</si>
  <si>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</si>
  <si>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</si>
  <si>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</si>
  <si>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</si>
  <si>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</si>
  <si>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</si>
  <si>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</si>
  <si>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</si>
  <si>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</si>
  <si>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</si>
  <si>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</si>
  <si>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</si>
  <si>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</si>
  <si>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</si>
  <si>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</si>
  <si>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</si>
  <si>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</si>
  <si>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</si>
  <si>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</si>
  <si>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</si>
  <si>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</si>
  <si>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</si>
  <si>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</si>
  <si>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</si>
  <si>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</si>
  <si>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</si>
  <si>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</si>
  <si>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</si>
  <si>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</si>
  <si>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</si>
  <si>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</si>
  <si>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</si>
  <si>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</si>
  <si>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</si>
  <si>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</si>
  <si>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</si>
  <si>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</si>
  <si>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</si>
  <si>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</si>
  <si>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</si>
  <si>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</si>
  <si>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</si>
  <si>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</si>
  <si>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</si>
  <si>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</si>
  <si>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</si>
  <si>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</si>
  <si>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</si>
  <si>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</si>
  <si>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</si>
  <si>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</si>
  <si>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</si>
  <si>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</si>
  <si>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</si>
  <si>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</si>
  <si>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</si>
  <si>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</si>
  <si>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</si>
  <si>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</si>
  <si>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</si>
  <si>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</si>
  <si>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</si>
  <si>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</si>
  <si>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</si>
  <si>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</si>
  <si>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</si>
  <si>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</si>
  <si>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</si>
  <si>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</si>
  <si>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</si>
  <si>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</si>
  <si>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</si>
  <si>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</si>
  <si>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</si>
  <si>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</si>
  <si>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</si>
  <si>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</si>
  <si>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</si>
  <si>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</si>
  <si>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</si>
  <si>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</si>
  <si>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</si>
  <si>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</si>
  <si>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</si>
  <si>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</si>
  <si>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</si>
  <si>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</si>
  <si>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</si>
  <si>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</si>
  <si>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</si>
  <si>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</si>
  <si>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</si>
  <si>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</si>
  <si>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</si>
  <si>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</si>
  <si>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</si>
  <si>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</si>
  <si>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</si>
  <si>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</si>
  <si>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</si>
  <si>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</si>
  <si>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</si>
  <si>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</si>
  <si>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</si>
  <si>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</si>
  <si>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</si>
  <si>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</si>
  <si>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</si>
  <si>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</si>
  <si>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</si>
  <si>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</si>
  <si>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</si>
  <si>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</si>
  <si>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</si>
  <si>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</si>
  <si>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</si>
  <si>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</si>
  <si>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</si>
  <si>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</si>
  <si>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</si>
  <si>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</si>
  <si>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</si>
  <si>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</si>
  <si>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</si>
  <si>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</si>
  <si>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</si>
  <si>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</si>
  <si>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</si>
  <si>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</si>
  <si>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</si>
  <si>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</si>
  <si>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</si>
  <si>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</si>
  <si>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</si>
  <si>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</si>
  <si>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</si>
  <si>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</si>
  <si>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</si>
  <si>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</si>
  <si>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</si>
  <si>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</si>
  <si>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</si>
  <si>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</si>
  <si>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</si>
  <si>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</si>
  <si>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</si>
  <si>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</si>
  <si>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</si>
  <si>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</si>
  <si>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</si>
  <si>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</si>
  <si>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</si>
  <si>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</si>
  <si>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</si>
  <si>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</si>
  <si>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</si>
  <si>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</si>
  <si>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</si>
  <si>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</si>
  <si>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</si>
  <si>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</si>
  <si>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</si>
  <si>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</si>
  <si>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</si>
  <si>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</si>
  <si>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</si>
  <si>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</si>
  <si>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</si>
  <si>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</si>
  <si>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</si>
  <si>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</si>
  <si>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</si>
  <si>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</si>
  <si>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</si>
  <si>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</si>
  <si>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</si>
  <si>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</si>
  <si>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</si>
  <si>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</si>
  <si>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</si>
  <si>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</si>
  <si>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</si>
  <si>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</si>
  <si>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</si>
  <si>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</si>
  <si>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</si>
  <si>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</si>
  <si>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</si>
  <si>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</si>
  <si>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</si>
  <si>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</si>
  <si>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</si>
  <si>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</si>
  <si>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</si>
  <si>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</si>
  <si>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</si>
  <si>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</si>
  <si>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</si>
  <si>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</si>
  <si>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</si>
  <si>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</si>
  <si>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</si>
  <si>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</si>
  <si>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</si>
  <si>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</si>
  <si>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</si>
  <si>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</si>
  <si>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</si>
  <si>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</si>
  <si>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</si>
  <si>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</si>
  <si>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</si>
  <si>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</si>
  <si>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</si>
  <si>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</si>
  <si>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</si>
  <si>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</si>
  <si>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</si>
  <si>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</si>
  <si>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</si>
  <si>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</si>
  <si>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</si>
  <si>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</si>
  <si>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</si>
  <si>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</si>
  <si>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</si>
  <si>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</si>
  <si>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</si>
  <si>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</si>
  <si>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</si>
  <si>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</si>
  <si>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</si>
  <si>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</si>
  <si>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</si>
  <si>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</si>
  <si>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</si>
  <si>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</si>
  <si>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</si>
  <si>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</si>
  <si>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</si>
  <si>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</si>
  <si>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</si>
  <si>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</si>
  <si>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</si>
  <si>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</si>
  <si>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</si>
  <si>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</si>
  <si>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</si>
  <si>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</si>
  <si>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</si>
  <si>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</si>
  <si>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</si>
  <si>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</si>
  <si>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</si>
  <si>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</si>
  <si>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</si>
  <si>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</si>
  <si>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</si>
  <si>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</si>
  <si>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</si>
  <si>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</si>
  <si>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</si>
  <si>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</si>
  <si>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</si>
  <si>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</si>
  <si>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</si>
  <si>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</si>
  <si>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</si>
  <si>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</si>
  <si>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</si>
  <si>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</si>
  <si>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</si>
  <si>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</si>
  <si>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</si>
  <si>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</si>
  <si>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</si>
  <si>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</si>
  <si>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</si>
  <si>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</si>
  <si>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</si>
  <si>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</si>
  <si>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</si>
  <si>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</si>
  <si>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</si>
  <si>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</si>
  <si>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</si>
  <si>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</si>
  <si>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</si>
  <si>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</si>
  <si>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</si>
  <si>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</si>
  <si>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</si>
  <si>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</si>
  <si>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</si>
  <si>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</si>
  <si>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</si>
  <si>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</si>
  <si>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</si>
  <si>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</si>
  <si>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</si>
  <si>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</si>
  <si>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</si>
  <si>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</si>
  <si>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</si>
  <si>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</si>
  <si>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</si>
  <si>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</si>
  <si>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</si>
  <si>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</si>
  <si>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</si>
  <si>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</si>
  <si>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</si>
  <si>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</si>
  <si>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</si>
  <si>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</si>
  <si>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</si>
  <si>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</si>
  <si>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</si>
  <si>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</si>
  <si>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</si>
  <si>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</si>
  <si>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</si>
  <si>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</si>
  <si>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</si>
  <si>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</si>
  <si>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</si>
  <si>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</si>
  <si>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</si>
  <si>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</si>
  <si>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</si>
  <si>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</si>
  <si>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</si>
  <si>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</si>
  <si>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</si>
  <si>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</si>
  <si>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</si>
  <si>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</si>
  <si>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</si>
  <si>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</si>
  <si>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</si>
  <si>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</si>
  <si>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</si>
  <si>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</si>
  <si>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</si>
  <si>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</si>
  <si>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</si>
  <si>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</si>
  <si>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</si>
  <si>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</si>
  <si>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</si>
  <si>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</si>
  <si>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</si>
  <si>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</si>
  <si>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</si>
  <si>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</si>
  <si>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</si>
  <si>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</si>
  <si>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</si>
  <si>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</si>
  <si>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</si>
  <si>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</si>
  <si>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</si>
  <si>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</si>
  <si>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</si>
  <si>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</si>
  <si>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</si>
  <si>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</si>
  <si>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</si>
  <si>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</si>
  <si>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</si>
  <si>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</si>
  <si>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</si>
  <si>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</si>
  <si>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</si>
  <si>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</si>
  <si>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</si>
  <si>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</si>
  <si>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</si>
  <si>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</si>
  <si>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</si>
  <si>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</si>
  <si>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</si>
  <si>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</si>
  <si>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</si>
  <si>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</si>
  <si>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</si>
  <si>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</si>
  <si>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</si>
  <si>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</si>
  <si>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</si>
  <si>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</si>
  <si>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</si>
  <si>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</si>
  <si>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</si>
  <si>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</si>
  <si>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</si>
  <si>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</si>
  <si>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</si>
  <si>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</si>
  <si>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</si>
  <si>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</si>
  <si>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</si>
  <si>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</si>
  <si>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</si>
  <si>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</si>
  <si>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</si>
  <si>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</si>
  <si>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</si>
  <si>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</si>
  <si>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</si>
  <si>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</si>
  <si>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</si>
  <si>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</si>
  <si>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</si>
  <si>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</si>
  <si>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</si>
  <si>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</si>
  <si>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</si>
  <si>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</si>
  <si>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</si>
  <si>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</si>
  <si>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</si>
  <si>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</si>
  <si>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</si>
  <si>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</si>
  <si>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</si>
  <si>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</si>
  <si>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</si>
  <si>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</si>
  <si>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</si>
  <si>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</si>
  <si>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</si>
  <si>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</si>
  <si>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</si>
  <si>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</si>
  <si>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</si>
  <si>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</si>
  <si>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</si>
  <si>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</si>
  <si>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</si>
  <si>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</si>
  <si>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</si>
  <si>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</si>
  <si>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</si>
  <si>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</si>
  <si>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</si>
  <si>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</si>
  <si>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</si>
  <si>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</si>
  <si>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</si>
  <si>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</si>
  <si>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</si>
  <si>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</si>
  <si>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</si>
  <si>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</si>
  <si>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</si>
  <si>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</si>
  <si>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</si>
  <si>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</si>
  <si>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</si>
  <si>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</si>
  <si>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</si>
  <si>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</si>
  <si>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</si>
  <si>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</si>
  <si>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</si>
  <si>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</si>
  <si>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</si>
  <si>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</si>
  <si>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</si>
  <si>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</si>
  <si>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</si>
  <si>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</si>
  <si>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</si>
  <si>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</si>
  <si>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</si>
  <si>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</si>
  <si>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</si>
  <si>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</si>
  <si>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</si>
  <si>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</si>
  <si>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</si>
  <si>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</si>
  <si>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</si>
  <si>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</si>
  <si>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</si>
  <si>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</si>
  <si>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</si>
  <si>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</si>
  <si>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</si>
  <si>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</si>
  <si>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</si>
  <si>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</si>
  <si>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</si>
  <si>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</si>
  <si>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</si>
  <si>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</si>
  <si>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</si>
  <si>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</si>
  <si>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</si>
  <si>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</si>
  <si>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</si>
  <si>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</si>
  <si>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</si>
  <si>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</si>
  <si>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</si>
  <si>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</si>
  <si>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</si>
  <si>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</si>
  <si>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</si>
  <si>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</si>
  <si>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</si>
  <si>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</si>
  <si>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</si>
  <si>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</si>
  <si>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</si>
  <si>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</si>
  <si>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</si>
  <si>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</si>
  <si>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</si>
  <si>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</si>
  <si>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</si>
  <si>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</si>
  <si>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</si>
  <si>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</si>
  <si>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</si>
  <si>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</si>
  <si>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</si>
  <si>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</si>
  <si>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</si>
  <si>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</si>
  <si>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</si>
  <si>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</si>
  <si>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</si>
  <si>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</si>
  <si>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</si>
  <si>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</si>
  <si>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</si>
  <si>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</si>
  <si>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</si>
  <si>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</si>
  <si>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</si>
  <si>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</si>
  <si>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</si>
  <si>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</si>
  <si>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</si>
  <si>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</si>
  <si>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</si>
  <si>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</si>
  <si>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</si>
  <si>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</si>
  <si>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</si>
  <si>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</si>
  <si>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</si>
  <si>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</si>
  <si>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</si>
  <si>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</si>
  <si>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</si>
  <si>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</si>
  <si>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</si>
  <si>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</si>
  <si>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</si>
  <si>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</si>
  <si>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</si>
  <si>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</si>
  <si>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</si>
  <si>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</si>
  <si>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</si>
  <si>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</si>
  <si>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</si>
  <si>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</si>
  <si>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</si>
  <si>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</si>
  <si>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</si>
  <si>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</si>
  <si>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</si>
  <si>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</si>
  <si>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</si>
  <si>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</si>
  <si>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</si>
  <si>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</si>
  <si>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</si>
  <si>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</si>
  <si>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</si>
  <si>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</si>
  <si>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</si>
  <si>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</si>
  <si>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</si>
  <si>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</si>
  <si>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</si>
  <si>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</si>
  <si>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</si>
  <si>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</si>
  <si>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</si>
  <si>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</si>
  <si>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</si>
  <si>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</si>
  <si>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</si>
  <si>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</si>
  <si>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</si>
  <si>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</si>
  <si>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</si>
  <si>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</si>
  <si>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</si>
  <si>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</si>
  <si>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</si>
  <si>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</si>
  <si>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</si>
  <si>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</si>
  <si>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</si>
  <si>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</si>
  <si>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</si>
  <si>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</si>
  <si>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</si>
  <si>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</si>
  <si>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</si>
  <si>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</si>
  <si>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</si>
  <si>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</si>
  <si>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</si>
  <si>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</si>
  <si>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</si>
  <si>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</si>
  <si>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</si>
  <si>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</si>
  <si>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</si>
  <si>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</si>
  <si>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</si>
  <si>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</si>
  <si>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</si>
  <si>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</si>
  <si>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</si>
  <si>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</si>
  <si>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</si>
  <si>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</si>
  <si>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</si>
  <si>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</si>
  <si>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</si>
  <si>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</si>
  <si>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</si>
  <si>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</si>
  <si>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</si>
  <si>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</si>
  <si>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</si>
  <si>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</si>
  <si>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</si>
  <si>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</si>
  <si>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</si>
  <si>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</si>
  <si>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</si>
  <si>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</si>
  <si>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</si>
  <si>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</si>
  <si>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</si>
  <si>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</si>
  <si>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</si>
  <si>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</si>
  <si>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</si>
  <si>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</si>
  <si>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</si>
  <si>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</si>
  <si>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</si>
  <si>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</si>
  <si>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</si>
  <si>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</si>
  <si>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</si>
  <si>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</si>
  <si>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</si>
  <si>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</si>
  <si>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</si>
  <si>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</si>
  <si>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</si>
  <si>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</si>
  <si>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</si>
  <si>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</si>
  <si>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</si>
  <si>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</si>
  <si>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</si>
  <si>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</si>
  <si>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</si>
  <si>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</si>
  <si>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</si>
  <si>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</si>
  <si>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</si>
  <si>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</si>
  <si>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</si>
  <si>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</si>
  <si>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</si>
  <si>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</si>
  <si>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</si>
  <si>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</si>
  <si>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</si>
  <si>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</si>
  <si>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</si>
  <si>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</si>
  <si>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</si>
  <si>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</si>
  <si>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</si>
  <si>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</si>
  <si>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</si>
  <si>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</si>
  <si>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</si>
  <si>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</si>
  <si>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</si>
  <si>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</si>
  <si>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</si>
  <si>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</si>
  <si>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</si>
  <si>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</si>
  <si>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</si>
  <si>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</si>
  <si>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</si>
  <si>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</si>
  <si>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</si>
  <si>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</si>
  <si>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</si>
  <si>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</si>
  <si>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</si>
  <si>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</si>
  <si>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</si>
  <si>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</si>
  <si>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</si>
  <si>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</si>
  <si>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</si>
  <si>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</si>
  <si>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</si>
  <si>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</si>
  <si>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</si>
  <si>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</si>
  <si>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</si>
  <si>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</si>
  <si>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</si>
  <si>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</si>
  <si>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</si>
  <si>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</si>
  <si>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</si>
  <si>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</si>
  <si>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</si>
  <si>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</si>
  <si>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</si>
  <si>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</si>
  <si>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</si>
  <si>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</si>
  <si>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</si>
  <si>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</si>
  <si>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</si>
  <si>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</si>
  <si>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</si>
  <si>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</si>
  <si>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</si>
  <si>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</si>
  <si>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</si>
  <si>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</si>
  <si>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</si>
  <si>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</si>
  <si>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</si>
  <si>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</si>
  <si>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</si>
  <si>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</si>
  <si>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</si>
  <si>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</si>
  <si>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</si>
  <si>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</si>
  <si>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</si>
  <si>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</si>
  <si>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</si>
  <si>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</si>
  <si>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</si>
  <si>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</si>
  <si>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</si>
  <si>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</si>
  <si>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</si>
  <si>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</si>
  <si>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</si>
  <si>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</si>
  <si>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</si>
  <si>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</si>
  <si>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</si>
  <si>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</si>
  <si>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</si>
  <si>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</si>
  <si>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</si>
  <si>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</si>
  <si>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</si>
  <si>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</si>
  <si>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</si>
  <si>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</si>
  <si>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</si>
  <si>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</si>
  <si>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</si>
  <si>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</si>
  <si>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</si>
  <si>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</si>
  <si>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</si>
  <si>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</si>
  <si>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</si>
  <si>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</si>
  <si>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</si>
  <si>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</si>
  <si>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</si>
  <si>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</si>
  <si>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</si>
  <si>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</si>
  <si>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</si>
  <si>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</si>
  <si>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</si>
  <si>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</si>
  <si>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</si>
  <si>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</si>
  <si>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</si>
  <si>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</si>
  <si>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</si>
  <si>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</si>
  <si>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</si>
  <si>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</si>
  <si>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</si>
  <si>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</si>
  <si>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</si>
  <si>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</si>
  <si>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</si>
  <si>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</si>
  <si>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</si>
  <si>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</si>
  <si>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</si>
  <si>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</si>
  <si>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</si>
  <si>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</si>
  <si>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</si>
  <si>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</si>
  <si>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</si>
  <si>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</si>
  <si>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</si>
  <si>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</si>
  <si>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</si>
  <si>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</si>
  <si>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</si>
  <si>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</si>
  <si>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</si>
  <si>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</si>
  <si>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</si>
  <si>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</si>
  <si>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</si>
  <si>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</si>
  <si>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</si>
  <si>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</si>
  <si>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</si>
  <si>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</si>
  <si>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</si>
  <si>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</si>
  <si>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</si>
  <si>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</si>
  <si>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</si>
  <si>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</si>
  <si>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</si>
  <si>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</si>
  <si>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</si>
  <si>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</si>
  <si>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</si>
  <si>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</si>
  <si>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</si>
  <si>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</si>
  <si>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</si>
  <si>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</si>
  <si>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</si>
  <si>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</si>
  <si>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</si>
  <si>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</si>
  <si>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</si>
  <si>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</si>
  <si>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</si>
  <si>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</si>
  <si>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</si>
  <si>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</si>
  <si>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</si>
  <si>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</si>
  <si>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</si>
  <si>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</si>
  <si>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</si>
  <si>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</si>
  <si>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</si>
  <si>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</si>
  <si>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</si>
  <si>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</si>
  <si>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</si>
  <si>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</si>
  <si>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</si>
  <si>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</si>
  <si>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</si>
  <si>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</si>
  <si>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</si>
  <si>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</si>
  <si>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</si>
  <si>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</si>
  <si>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</si>
  <si>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</si>
  <si>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</si>
  <si>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</si>
  <si>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</si>
  <si>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</si>
  <si>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</si>
  <si>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</si>
  <si>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</si>
  <si>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</si>
  <si>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</si>
  <si>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</si>
  <si>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</si>
  <si>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</si>
  <si>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</si>
  <si>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</si>
  <si>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</si>
  <si>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</si>
  <si>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</si>
  <si>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</si>
  <si>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</si>
  <si>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</si>
  <si>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</si>
  <si>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</si>
  <si>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</si>
  <si>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</si>
  <si>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</si>
  <si>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</si>
  <si>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</si>
  <si>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</si>
  <si>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</si>
  <si>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</si>
  <si>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</si>
  <si>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</si>
  <si>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</si>
  <si>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</si>
  <si>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</si>
  <si>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</si>
  <si>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</si>
  <si>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</si>
  <si>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</si>
  <si>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</si>
  <si>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</si>
  <si>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</si>
  <si>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</si>
  <si>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</si>
  <si>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</si>
  <si>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</si>
  <si>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</si>
  <si>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</si>
  <si>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</si>
  <si>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</si>
  <si>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</si>
  <si>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</si>
  <si>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</si>
  <si>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</si>
  <si>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</si>
  <si>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</si>
  <si>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</si>
  <si>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</si>
  <si>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</si>
  <si>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</si>
  <si>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</si>
  <si>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</si>
  <si>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</si>
  <si>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</si>
  <si>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</si>
  <si>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</si>
  <si>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</si>
  <si>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</si>
  <si>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</si>
  <si>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</si>
  <si>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</si>
  <si>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</si>
  <si>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</si>
  <si>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</si>
  <si>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</si>
  <si>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</si>
  <si>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</si>
  <si>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</si>
  <si>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</si>
  <si>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</si>
  <si>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</si>
  <si>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</si>
  <si>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</si>
  <si>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</si>
  <si>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</si>
  <si>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</si>
  <si>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</si>
  <si>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</si>
  <si>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</si>
  <si>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</si>
  <si>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</si>
  <si>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</si>
  <si>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</si>
  <si>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</si>
  <si>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</si>
  <si>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</si>
  <si>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</si>
  <si>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</si>
  <si>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</si>
  <si>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</si>
  <si>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</si>
  <si>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</si>
  <si>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</si>
  <si>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</si>
  <si>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</si>
  <si>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</si>
  <si>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</si>
  <si>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</si>
  <si>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</si>
  <si>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</si>
  <si>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</si>
  <si>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</si>
  <si>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</si>
  <si>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</si>
  <si>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</si>
  <si>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</si>
  <si>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</si>
  <si>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</si>
  <si>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</si>
  <si>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</si>
  <si>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</si>
  <si>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</si>
  <si>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</si>
  <si>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</si>
  <si>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</si>
  <si>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</si>
  <si>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</si>
  <si>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</si>
  <si>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</si>
  <si>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</si>
  <si>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</si>
  <si>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</si>
  <si>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</si>
  <si>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</si>
  <si>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</si>
  <si>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</si>
  <si>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</si>
  <si>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</si>
  <si>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</si>
  <si>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</si>
  <si>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</si>
  <si>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</si>
  <si>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</si>
  <si>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</si>
  <si>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</si>
  <si>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</si>
  <si>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</si>
  <si>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</si>
  <si>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</si>
  <si>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</si>
  <si>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</si>
  <si>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</si>
  <si>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</si>
  <si>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</si>
  <si>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</si>
  <si>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</si>
  <si>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</si>
  <si>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</si>
  <si>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</si>
  <si>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</si>
  <si>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</si>
  <si>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</si>
  <si>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</si>
  <si>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</si>
  <si>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</si>
  <si>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</si>
  <si>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</si>
  <si>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</si>
  <si>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</si>
  <si>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</si>
  <si>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</si>
  <si>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</si>
  <si>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</si>
  <si>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</si>
  <si>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</si>
  <si>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</si>
  <si>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</si>
  <si>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</si>
  <si>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</si>
  <si>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</si>
  <si>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</si>
  <si>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</si>
  <si>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</si>
  <si>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</si>
  <si>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</si>
  <si>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</si>
  <si>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</si>
  <si>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</si>
  <si>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</si>
  <si>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</si>
  <si>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</si>
  <si>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</si>
  <si>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</si>
  <si>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</si>
  <si>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</si>
  <si>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</si>
  <si>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</si>
  <si>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</si>
  <si>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</si>
  <si>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</si>
  <si>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</si>
  <si>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</si>
  <si>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</si>
  <si>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</si>
  <si>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</si>
  <si>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</si>
  <si>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</si>
  <si>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</si>
  <si>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</si>
  <si>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</si>
  <si>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</si>
  <si>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</si>
  <si>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</si>
  <si>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</si>
  <si>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</si>
  <si>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</si>
  <si>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</si>
  <si>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</si>
  <si>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</si>
  <si>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</si>
  <si>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</si>
  <si>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</si>
  <si>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</si>
  <si>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</si>
  <si>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</si>
  <si>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</si>
  <si>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</si>
  <si>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</si>
  <si>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</si>
  <si>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</si>
  <si>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</si>
  <si>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</si>
  <si>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</si>
  <si>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</si>
  <si>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</si>
  <si>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</si>
  <si>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</si>
  <si>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</si>
  <si>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</si>
  <si>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</si>
  <si>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</si>
  <si>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</si>
  <si>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</si>
  <si>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</si>
  <si>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</si>
  <si>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</si>
  <si>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</si>
  <si>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</si>
  <si>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</si>
  <si>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</si>
  <si>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</si>
  <si>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</si>
  <si>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</si>
  <si>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</si>
  <si>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</si>
  <si>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</si>
  <si>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</si>
  <si>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</si>
  <si>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</si>
  <si>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</si>
  <si>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</si>
  <si>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</si>
  <si>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</si>
  <si>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</si>
  <si>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</si>
  <si>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</si>
  <si>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</si>
  <si>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</si>
  <si>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</si>
  <si>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</si>
  <si>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</si>
  <si>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</si>
  <si>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</si>
  <si>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</si>
  <si>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</si>
  <si>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</si>
  <si>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</si>
  <si>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</si>
  <si>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</si>
  <si>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</si>
  <si>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</si>
  <si>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</si>
  <si>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</si>
  <si>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</si>
  <si>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</si>
  <si>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</si>
  <si>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</si>
  <si>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</si>
  <si>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</si>
  <si>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</si>
  <si>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</si>
  <si>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</si>
  <si>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</si>
  <si>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</si>
  <si>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</si>
  <si>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</si>
  <si>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</si>
  <si>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</si>
  <si>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</si>
  <si>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</si>
  <si>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</si>
  <si>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</si>
  <si>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</si>
  <si>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</si>
  <si>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</si>
  <si>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</si>
  <si>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</si>
  <si>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</si>
  <si>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</si>
  <si>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</si>
  <si>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</si>
  <si>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</si>
  <si>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</si>
  <si>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</si>
  <si>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</si>
  <si>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</si>
  <si>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</si>
  <si>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</si>
  <si>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</si>
  <si>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</si>
  <si>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</si>
  <si>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</si>
  <si>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</si>
  <si>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</si>
  <si>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</si>
  <si>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</si>
  <si>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</si>
  <si>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</si>
  <si>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</si>
  <si>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</si>
  <si>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</si>
  <si>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</si>
  <si>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</si>
  <si>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</si>
  <si>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</si>
  <si>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</si>
  <si>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</si>
  <si>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</si>
  <si>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</si>
  <si>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</si>
  <si>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</si>
  <si>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</si>
  <si>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</si>
  <si>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</si>
  <si>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</si>
  <si>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</si>
  <si>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</si>
  <si>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</si>
  <si>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</si>
  <si>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</si>
  <si>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</si>
  <si>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</si>
  <si>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</si>
  <si>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</si>
  <si>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</si>
  <si>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</si>
  <si>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</si>
  <si>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</si>
  <si>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</si>
  <si>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</si>
  <si>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</si>
  <si>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</si>
  <si>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</si>
  <si>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</si>
  <si>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</si>
  <si>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</si>
  <si>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</si>
  <si>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</si>
  <si>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</si>
  <si>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</si>
  <si>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</si>
  <si>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</si>
  <si>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</si>
  <si>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</si>
  <si>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</si>
  <si>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</si>
  <si>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</si>
  <si>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</si>
  <si>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</si>
  <si>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</si>
  <si>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</si>
  <si>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</si>
  <si>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</si>
  <si>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</si>
  <si>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</si>
  <si>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</si>
  <si>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</si>
  <si>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</si>
  <si>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</si>
  <si>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</si>
  <si>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</si>
  <si>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</si>
  <si>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</si>
  <si>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</si>
  <si>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</si>
  <si>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</si>
  <si>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</si>
  <si>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</si>
  <si>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</si>
  <si>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</si>
  <si>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</si>
  <si>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</si>
  <si>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</si>
  <si>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</si>
  <si>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</si>
  <si>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</si>
  <si>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</si>
  <si>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</si>
  <si>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</si>
  <si>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</si>
  <si>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</si>
  <si>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</si>
  <si>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</si>
  <si>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</si>
  <si>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</si>
  <si>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</si>
  <si>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</si>
  <si>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</si>
  <si>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</si>
  <si>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</si>
  <si>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</si>
  <si>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</si>
  <si>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</si>
  <si>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</si>
  <si>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</si>
  <si>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</si>
  <si>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</si>
  <si>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</si>
  <si>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</si>
  <si>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Vincent Bouchareychas - Sylvie Dal Degan</t>
  </si>
  <si>
    <t xml:space="preserve">conforme AFNOR T90-395 oct. 2003</t>
  </si>
  <si>
    <t xml:space="preserve">GISCLE</t>
  </si>
  <si>
    <t xml:space="preserve">Cogolin</t>
  </si>
  <si>
    <t xml:space="preserve">06207000</t>
  </si>
  <si>
    <t xml:space="preserve">7178c 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</si>
  <si>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</si>
  <si>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</si>
  <si>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</si>
  <si>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</si>
  <si>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</si>
  <si>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</si>
  <si>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</si>
  <si>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</si>
  <si>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</si>
  <si>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</si>
  <si>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</si>
  <si>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</si>
  <si>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</si>
  <si>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</si>
  <si>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</si>
  <si>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</si>
  <si>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</si>
  <si>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</si>
  <si>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</si>
  <si>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</si>
  <si>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</si>
  <si>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</si>
  <si>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</si>
  <si>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</si>
  <si>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</si>
  <si>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</si>
  <si>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</si>
  <si>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</si>
  <si>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</si>
  <si>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</si>
  <si>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</si>
  <si>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</si>
  <si>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</si>
  <si>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</si>
  <si>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</si>
  <si>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</si>
  <si>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</si>
  <si>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</si>
  <si>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</si>
  <si>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</si>
  <si>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</si>
  <si>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</si>
  <si>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</si>
  <si>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</si>
  <si>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</si>
  <si>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</si>
  <si>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</si>
  <si>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</si>
  <si>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</si>
  <si>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(0,64012 %)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</si>
  <si>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</si>
  <si>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</si>
  <si>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</si>
  <si>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</si>
  <si>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</si>
  <si>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</si>
  <si>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</si>
  <si>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</si>
  <si>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</si>
  <si>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</si>
  <si>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</si>
  <si>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</si>
  <si>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</si>
  <si>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</si>
  <si>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</si>
  <si>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</si>
  <si>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</si>
  <si>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</si>
  <si>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</si>
  <si>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</si>
  <si>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</si>
  <si>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Bidens frondosa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</si>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</sst>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41786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8.375</v>
      </c>
      <c r="M5" s="323"/>
      <c r="N5" s="324" t="s">
        <v>160</v>
      </c>
      <c r="O5" s="325" t="n">
        <v>8.14285714285714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14</v>
      </c>
      <c r="C7" s="337" t="n">
        <v>86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4.9375</v>
      </c>
      <c r="O8" s="354" t="n">
        <f aca="false">IF(ISERROR(AVERAGE(J23:J82)),"      -",AVERAGE(J23:J82))</f>
        <v>0.8125</v>
      </c>
      <c r="P8" s="355"/>
      <c r="Q8" s="280"/>
      <c r="R8" s="280"/>
      <c r="S8" s="280"/>
      <c r="T8" s="280"/>
      <c r="U8" s="280"/>
      <c r="V8" s="280"/>
      <c r="W8" s="292"/>
      <c r="X8" s="293"/>
    </row>
    <row r="9" customFormat="false" ht="13.5" hidden="false" customHeight="false" outlineLevel="0" collapsed="false">
      <c r="A9" s="313" t="s">
        <v>2635</v>
      </c>
      <c r="B9" s="356" t="n">
        <v>0.05</v>
      </c>
      <c r="C9" s="357" t="n">
        <v>0.75</v>
      </c>
      <c r="D9" s="358"/>
      <c r="E9" s="358"/>
      <c r="F9" s="359" t="n">
        <f aca="false">($B9*$B$7+$C9*$C$7)/100</f>
        <v>0.652</v>
      </c>
      <c r="G9" s="360"/>
      <c r="H9" s="361"/>
      <c r="I9" s="362"/>
      <c r="J9" s="363"/>
      <c r="K9" s="343"/>
      <c r="L9" s="364"/>
      <c r="M9" s="353" t="s">
        <v>2636</v>
      </c>
      <c r="N9" s="354" t="n">
        <f aca="false">IF(ISERROR(STDEVP(I23:I82)),"     -",STDEVP(I23:I82))</f>
        <v>4.72319740747727</v>
      </c>
      <c r="O9" s="354" t="n">
        <f aca="false">IF(ISERROR(STDEVP(J23:J82)),"      -",STDEVP(J23:J82))</f>
        <v>0.807677998957505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2</v>
      </c>
      <c r="L13" s="386"/>
      <c r="M13" s="397" t="s">
        <v>2648</v>
      </c>
      <c r="N13" s="398" t="n">
        <f aca="false">COUNTIF(F23:F82,"&gt;0")</f>
        <v>18</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9</v>
      </c>
      <c r="L15" s="386"/>
      <c r="M15" s="407" t="s">
        <v>2654</v>
      </c>
      <c r="N15" s="408" t="n">
        <f aca="false">COUNTIF(J23:J82,"=1")</f>
        <v>5</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0.045</v>
      </c>
      <c r="C20" s="436" t="n">
        <f aca="false">SUM(C23:C82)</f>
        <v>0.737</v>
      </c>
      <c r="D20" s="437"/>
      <c r="E20" s="438" t="s">
        <v>2660</v>
      </c>
      <c r="F20" s="439" t="n">
        <f aca="false">($B20*$B$7+$C20*$C$7)/100</f>
        <v>0.64012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0.0063</v>
      </c>
      <c r="C21" s="449" t="n">
        <f aca="false">C20*C7/100</f>
        <v>0.63382</v>
      </c>
      <c r="D21" s="381" t="str">
        <f aca="false">IF(F21=0,"",IF((ABS(F21-F19))&gt;(0.2*F21),CONCATENATE(" rec. par taxa (",F21," %) supérieur à 20 % !"),""))</f>
        <v> rec. par taxa (0,64012 %) supérieur à 20 % !</v>
      </c>
      <c r="E21" s="450" t="str">
        <f aca="false">IF(F21=0,"",IF((ABS(F21-F19))&gt;(0.2*F21),CONCATENATE("ATTENTION : écart entre rec. par grp (",F19," %) ","et",""),""))</f>
        <v>ATTENTION : écart entre rec. par grp (0 %) et</v>
      </c>
      <c r="F21" s="451" t="n">
        <f aca="false">B21+C21</f>
        <v>0.64012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c r="C23" s="476" t="n">
        <v>0.001</v>
      </c>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0.00086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0.00086</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0.005</v>
      </c>
      <c r="C24" s="495" t="n">
        <v>0.001</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0.00156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0.00156</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160</v>
      </c>
      <c r="B25" s="494"/>
      <c r="C25" s="495" t="n">
        <v>0.3</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0.258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0.258</v>
      </c>
      <c r="R25" s="487" t="n">
        <f aca="false">IF(OR(ISTEXT(H25),Q25=0),"",IF(Q25&lt;0.1,1,IF(Q25&lt;1,2,IF(Q25&lt;10,3,IF(Q25&lt;50,4,IF(Q25&gt;=50,5,""))))))</f>
        <v>2</v>
      </c>
      <c r="S25" s="487" t="n">
        <f aca="false">IF(ISERROR(R25*I25),0,R25*I25)</f>
        <v>20</v>
      </c>
      <c r="T25" s="487" t="n">
        <f aca="false">IF(ISERROR(R25*I25*J25),0,R25*I25*J25)</f>
        <v>20</v>
      </c>
      <c r="U25" s="499" t="n">
        <f aca="false">IF(ISERROR(R25*J25),0,R25*J25)</f>
        <v>2</v>
      </c>
      <c r="V25" s="488" t="str">
        <f aca="false">IF(AND(A25="",F25=0),"",IF(F25=0,"Il manque le(s) % de rec. !",""))</f>
        <v/>
      </c>
      <c r="W25" s="500"/>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223</v>
      </c>
      <c r="B26" s="494"/>
      <c r="C26" s="495" t="n">
        <v>0.15</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0.129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0.129</v>
      </c>
      <c r="R26" s="487" t="n">
        <f aca="false">IF(OR(ISTEXT(H26),Q26=0),"",IF(Q26&lt;0.1,1,IF(Q26&lt;1,2,IF(Q26&lt;10,3,IF(Q26&lt;50,4,IF(Q26&gt;=50,5,""))))))</f>
        <v>2</v>
      </c>
      <c r="S26" s="487" t="n">
        <f aca="false">IF(ISERROR(R26*I26),0,R26*I26)</f>
        <v>12</v>
      </c>
      <c r="T26" s="487" t="n">
        <f aca="false">IF(ISERROR(R26*I26*J26),0,R26*I26*J26)</f>
        <v>24</v>
      </c>
      <c r="U26" s="499" t="n">
        <f aca="false">IF(ISERROR(R26*J26),0,R26*J26)</f>
        <v>4</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645</v>
      </c>
      <c r="B27" s="494" t="n">
        <v>0.005</v>
      </c>
      <c r="C27" s="495" t="n">
        <v>0.02</v>
      </c>
      <c r="D27" s="477" t="str">
        <f aca="false">IF(ISERROR(VLOOKUP($A27,'liste reference'!$A$7:$D$904,2,0)),IF(ISERROR(VLOOKUP($A27,'liste reference'!$B$7:$D$904,1,0)),"",VLOOKUP($A27,'liste reference'!$B$7:$D$904,1,0)),VLOOKUP($A27,'liste reference'!$A$7:$D$904,2,0))</f>
        <v>Amblystegium riparium</v>
      </c>
      <c r="E27" s="496" t="e">
        <f aca="false">IF(D27="",0,VLOOKUP(D27,D$22:D26,1,0))</f>
        <v>#N/A</v>
      </c>
      <c r="F27" s="497" t="n">
        <f aca="false">($B27*$B$7+$C27*$C$7)/100</f>
        <v>0.0179</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1219</v>
      </c>
      <c r="Q27" s="486" t="n">
        <f aca="false">IF(ISTEXT(H27),"",(B27*$B$7/100)+(C27*$C$7/100))</f>
        <v>0.0179</v>
      </c>
      <c r="R27" s="487" t="n">
        <f aca="false">IF(OR(ISTEXT(H27),Q27=0),"",IF(Q27&lt;0.1,1,IF(Q27&lt;1,2,IF(Q27&lt;10,3,IF(Q27&lt;50,4,IF(Q27&gt;=50,5,""))))))</f>
        <v>1</v>
      </c>
      <c r="S27" s="487" t="n">
        <f aca="false">IF(ISERROR(R27*I27),0,R27*I27)</f>
        <v>5</v>
      </c>
      <c r="T27" s="487" t="n">
        <f aca="false">IF(ISERROR(R27*I27*J27),0,R27*I27*J27)</f>
        <v>10</v>
      </c>
      <c r="U27" s="499" t="n">
        <f aca="false">IF(ISERROR(R27*J27),0,R27*J27)</f>
        <v>2</v>
      </c>
      <c r="V27" s="488" t="str">
        <f aca="false">IF(AND(A27="",F27=0),"",IF(F27=0,"Il manque le(s) % de rec. !",""))</f>
        <v/>
      </c>
      <c r="W27" s="489"/>
      <c r="Y27" s="490" t="str">
        <f aca="false">IF(A27="new.cod","NEWCOD",IF(AND((Z27=""),ISTEXT(A27)),A27,IF(Z27="","",INDEX('liste reference'!$A$8:$A$904,Z27))))</f>
        <v>AMBRIP</v>
      </c>
      <c r="Z27" s="280" t="n">
        <f aca="false">IF(ISERROR(MATCH(A27,'liste reference'!$A$8:$A$904,0)),IF(ISERROR(MATCH(A27,'liste reference'!$B$8:$B$904,0)),"",(MATCH(A27,'liste reference'!$B$8:$B$904,0))),(MATCH(A27,'liste reference'!$A$8:$A$904,0)))</f>
        <v>148</v>
      </c>
      <c r="AA27" s="491"/>
      <c r="AB27" s="492"/>
      <c r="AC27" s="492"/>
      <c r="BB27" s="280" t="n">
        <f aca="false">IF(A27="","",1)</f>
        <v>1</v>
      </c>
    </row>
    <row r="28" customFormat="false" ht="12.75" hidden="false" customHeight="false" outlineLevel="0" collapsed="false">
      <c r="A28" s="493" t="s">
        <v>825</v>
      </c>
      <c r="B28" s="494"/>
      <c r="C28" s="495" t="n">
        <v>0.005</v>
      </c>
      <c r="D28" s="477" t="str">
        <f aca="false">IF(ISERROR(VLOOKUP($A28,'liste reference'!$A$7:$D$904,2,0)),IF(ISERROR(VLOOKUP($A28,'liste reference'!$B$7:$D$904,1,0)),"",VLOOKUP($A28,'liste reference'!$B$7:$D$904,1,0)),VLOOKUP($A28,'liste reference'!$A$7:$D$904,2,0))</f>
        <v>Eurhynchium hians</v>
      </c>
      <c r="E28" s="496" t="e">
        <f aca="false">IF(D28="",0,VLOOKUP(D28,D$22:D27,1,0))</f>
        <v>#N/A</v>
      </c>
      <c r="F28" s="497" t="n">
        <f aca="false">($B28*$B$7+$C28*$C$7)/100</f>
        <v>0.0043</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Eurhynchium hians</v>
      </c>
      <c r="L28" s="498"/>
      <c r="M28" s="498"/>
      <c r="N28" s="498"/>
      <c r="O28" s="484" t="s">
        <v>2685</v>
      </c>
      <c r="P28" s="485" t="n">
        <f aca="false">IF($A28="NEWCOD",IF($AC28="","No",$AC28),IF(ISTEXT($E28),"DEJA SAISI !",IF($A28="","",IF(ISERROR(VLOOKUP($A28,'liste reference'!A:S,19,FALSE())),IF(ISERROR(VLOOKUP($A28,'liste reference'!B:S,19,FALSE())),"",VLOOKUP($A28,'liste reference'!B:S,19,FALSE())),VLOOKUP($A28,'liste reference'!A:S,19,FALSE())))))</f>
        <v>19655</v>
      </c>
      <c r="Q28" s="486" t="n">
        <f aca="false">IF(ISTEXT(H28),"",(B28*$B$7/100)+(C28*$C$7/100))</f>
        <v>0.0043</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EURHIA</v>
      </c>
      <c r="Z28" s="280" t="n">
        <f aca="false">IF(ISERROR(MATCH(A28,'liste reference'!$A$8:$A$904,0)),IF(ISERROR(MATCH(A28,'liste reference'!$B$8:$B$904,0)),"",(MATCH(A28,'liste reference'!$B$8:$B$904,0))),(MATCH(A28,'liste reference'!$A$8:$A$904,0)))</f>
        <v>192</v>
      </c>
      <c r="AA28" s="491" t="s">
        <v>2685</v>
      </c>
      <c r="AB28" s="492"/>
      <c r="AC28" s="492"/>
      <c r="BB28" s="280" t="n">
        <f aca="false">IF(A28="","",1)</f>
        <v>1</v>
      </c>
    </row>
    <row r="29" customFormat="false" ht="12.75" hidden="false" customHeight="false" outlineLevel="0" collapsed="false">
      <c r="A29" s="493" t="s">
        <v>1153</v>
      </c>
      <c r="B29" s="494" t="n">
        <v>0.005</v>
      </c>
      <c r="C29" s="495" t="n">
        <v>0.005</v>
      </c>
      <c r="D29" s="477" t="str">
        <f aca="false">IF(ISERROR(VLOOKUP($A29,'liste reference'!$A$7:$D$904,2,0)),IF(ISERROR(VLOOKUP($A29,'liste reference'!$B$7:$D$904,1,0)),"",VLOOKUP($A29,'liste reference'!$B$7:$D$904,1,0)),VLOOKUP($A29,'liste reference'!$A$7:$D$904,2,0))</f>
        <v>Equisetum arvense</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PTE</v>
      </c>
      <c r="H29" s="480" t="n">
        <f aca="false">IF(A29="","x",IF(ISERROR(VLOOKUP($A29,'liste reference'!$A$8:$P$904,14,0)),IF(ISERROR(VLOOKUP($A29,'liste reference'!$B$8:$P$904,13,0)),"x",VLOOKUP($A29,'liste reference'!$B$8:$P$904,13,0)),VLOOKUP($A29,'liste reference'!$A$8:$P$904,14,0)))</f>
        <v>6</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Equisetum arvense</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1384</v>
      </c>
      <c r="Q29" s="486" t="n">
        <f aca="false">IF(ISTEXT(H29),"",(B29*$B$7/100)+(C29*$C$7/100))</f>
        <v>0.005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EQUARV</v>
      </c>
      <c r="Z29" s="280" t="n">
        <f aca="false">IF(ISERROR(MATCH(A29,'liste reference'!$A$8:$A$904,0)),IF(ISERROR(MATCH(A29,'liste reference'!$B$8:$B$904,0)),"",(MATCH(A29,'liste reference'!$B$8:$B$904,0))),(MATCH(A29,'liste reference'!$A$8:$A$904,0)))</f>
        <v>278</v>
      </c>
      <c r="AA29" s="491"/>
      <c r="AB29" s="492"/>
      <c r="AC29" s="492"/>
      <c r="BB29" s="280" t="n">
        <f aca="false">IF(A29="","",1)</f>
        <v>1</v>
      </c>
    </row>
    <row r="30" customFormat="false" ht="12.75" hidden="false" customHeight="false" outlineLevel="0" collapsed="false">
      <c r="A30" s="493" t="s">
        <v>1708</v>
      </c>
      <c r="B30" s="494"/>
      <c r="C30" s="495" t="n">
        <v>0.04</v>
      </c>
      <c r="D30" s="477" t="str">
        <f aca="false">IF(ISERROR(VLOOKUP($A30,'liste reference'!$A$7:$D$904,2,0)),IF(ISERROR(VLOOKUP($A30,'liste reference'!$B$7:$D$904,1,0)),"",VLOOKUP($A30,'liste reference'!$B$7:$D$904,1,0)),VLOOKUP($A30,'liste reference'!$A$7:$D$904,2,0))</f>
        <v>Agrostis stolonifera</v>
      </c>
      <c r="E30" s="496" t="e">
        <f aca="false">IF(D30="",0,VLOOKUP(D30,D$22:D29,1,0))</f>
        <v>#N/A</v>
      </c>
      <c r="F30" s="497" t="n">
        <f aca="false">($B30*$B$7+$C30*$C$7)/100</f>
        <v>0.0344</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Agrostis stolonifera</v>
      </c>
      <c r="L30" s="498"/>
      <c r="M30" s="498"/>
      <c r="N30" s="498"/>
      <c r="O30" s="484" t="s">
        <v>2685</v>
      </c>
      <c r="P30" s="485" t="n">
        <f aca="false">IF($A30="NEWCOD",IF($AC30="","No",$AC30),IF(ISTEXT($E30),"DEJA SAISI !",IF($A30="","",IF(ISERROR(VLOOKUP($A30,'liste reference'!A:S,19,FALSE())),IF(ISERROR(VLOOKUP($A30,'liste reference'!B:S,19,FALSE())),"",VLOOKUP($A30,'liste reference'!B:S,19,FALSE())),VLOOKUP($A30,'liste reference'!A:S,19,FALSE())))))</f>
        <v>1543</v>
      </c>
      <c r="Q30" s="486" t="n">
        <f aca="false">IF(ISTEXT(H30),"",(B30*$B$7/100)+(C30*$C$7/100))</f>
        <v>0.0344</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AGRSTO</v>
      </c>
      <c r="Z30" s="280" t="n">
        <f aca="false">IF(ISERROR(MATCH(A30,'liste reference'!$A$8:$A$904,0)),IF(ISERROR(MATCH(A30,'liste reference'!$B$8:$B$904,0)),"",(MATCH(A30,'liste reference'!$B$8:$B$904,0))),(MATCH(A30,'liste reference'!$A$8:$A$904,0)))</f>
        <v>514</v>
      </c>
      <c r="AA30" s="491" t="s">
        <v>2685</v>
      </c>
      <c r="AB30" s="492"/>
      <c r="AC30" s="492"/>
      <c r="BB30" s="280" t="n">
        <f aca="false">IF(A30="","",1)</f>
        <v>1</v>
      </c>
    </row>
    <row r="31" customFormat="false" ht="12.75" hidden="false" customHeight="false" outlineLevel="0" collapsed="false">
      <c r="A31" s="493" t="s">
        <v>1714</v>
      </c>
      <c r="B31" s="494"/>
      <c r="C31" s="495" t="n">
        <v>0.005</v>
      </c>
      <c r="D31" s="477" t="str">
        <f aca="false">IF(ISERROR(VLOOKUP($A31,'liste reference'!$A$7:$D$904,2,0)),IF(ISERROR(VLOOKUP($A31,'liste reference'!$B$7:$D$904,1,0)),"",VLOOKUP($A31,'liste reference'!$B$7:$D$904,1,0)),VLOOKUP($A31,'liste reference'!$A$7:$D$904,2,0))</f>
        <v>Alisma lanceolatum</v>
      </c>
      <c r="E31" s="496" t="e">
        <f aca="false">IF(D31="",0,VLOOKUP(D31,D$22:D30,1,0))</f>
        <v>#N/A</v>
      </c>
      <c r="F31" s="497" t="n">
        <f aca="false">($B31*$B$7+$C31*$C$7)/100</f>
        <v>0.0043</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9</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Alisma lanceolatum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1446</v>
      </c>
      <c r="Q31" s="486" t="n">
        <f aca="false">IF(ISTEXT(H31),"",(B31*$B$7/100)+(C31*$C$7/100))</f>
        <v>0.0043</v>
      </c>
      <c r="R31" s="487" t="n">
        <f aca="false">IF(OR(ISTEXT(H31),Q31=0),"",IF(Q31&lt;0.1,1,IF(Q31&lt;1,2,IF(Q31&lt;10,3,IF(Q31&lt;50,4,IF(Q31&gt;=50,5,""))))))</f>
        <v>1</v>
      </c>
      <c r="S31" s="487" t="n">
        <f aca="false">IF(ISERROR(R31*I31),0,R31*I31)</f>
        <v>9</v>
      </c>
      <c r="T31" s="487" t="n">
        <f aca="false">IF(ISERROR(R31*I31*J31),0,R31*I31*J31)</f>
        <v>18</v>
      </c>
      <c r="U31" s="499" t="n">
        <f aca="false">IF(ISERROR(R31*J31),0,R31*J31)</f>
        <v>2</v>
      </c>
      <c r="V31" s="488" t="str">
        <f aca="false">IF(AND(A31="",F31=0),"",IF(F31=0,"Il manque le(s) % de rec. !",""))</f>
        <v/>
      </c>
      <c r="W31" s="489"/>
      <c r="Y31" s="490" t="str">
        <f aca="false">IF(A31="new.cod","NEWCOD",IF(AND((Z31=""),ISTEXT(A31)),A31,IF(Z31="","",INDEX('liste reference'!$A$8:$A$904,Z31))))</f>
        <v>ALILAN</v>
      </c>
      <c r="Z31" s="280" t="n">
        <f aca="false">IF(ISERROR(MATCH(A31,'liste reference'!$A$8:$A$904,0)),IF(ISERROR(MATCH(A31,'liste reference'!$B$8:$B$904,0)),"",(MATCH(A31,'liste reference'!$B$8:$B$904,0))),(MATCH(A31,'liste reference'!$A$8:$A$904,0)))</f>
        <v>516</v>
      </c>
      <c r="AA31" s="491"/>
      <c r="AB31" s="492"/>
      <c r="AC31" s="492"/>
      <c r="BB31" s="280" t="n">
        <f aca="false">IF(A31="","",1)</f>
        <v>1</v>
      </c>
    </row>
    <row r="32" customFormat="false" ht="12.75" hidden="false" customHeight="false" outlineLevel="0" collapsed="false">
      <c r="A32" s="493" t="s">
        <v>1923</v>
      </c>
      <c r="B32" s="494"/>
      <c r="C32" s="495" t="n">
        <v>0.01</v>
      </c>
      <c r="D32" s="477" t="str">
        <f aca="false">IF(ISERROR(VLOOKUP($A32,'liste reference'!$A$7:$D$904,2,0)),IF(ISERROR(VLOOKUP($A32,'liste reference'!$B$7:$D$904,1,0)),"",VLOOKUP($A32,'liste reference'!$B$7:$D$904,1,0)),VLOOKUP($A32,'liste reference'!$A$7:$D$904,2,0))</f>
        <v>Lysimachia vulgaris</v>
      </c>
      <c r="E32" s="496" t="e">
        <f aca="false">IF(D32="",0,VLOOKUP(D32,D$22:D31,1,0))</f>
        <v>#N/A</v>
      </c>
      <c r="F32" s="497" t="n">
        <f aca="false">($B32*$B$7+$C32*$C$7)/100</f>
        <v>0.0086</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Lysimachia vulgaris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1887</v>
      </c>
      <c r="Q32" s="486" t="n">
        <f aca="false">IF(ISTEXT(H32),"",(B32*$B$7/100)+(C32*$C$7/100))</f>
        <v>0.0086</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LYSVUL</v>
      </c>
      <c r="Z32" s="280" t="n">
        <f aca="false">IF(ISERROR(MATCH(A32,'liste reference'!$A$8:$A$904,0)),IF(ISERROR(MATCH(A32,'liste reference'!$B$8:$B$904,0)),"",(MATCH(A32,'liste reference'!$B$8:$B$904,0))),(MATCH(A32,'liste reference'!$A$8:$A$904,0)))</f>
        <v>601</v>
      </c>
      <c r="AA32" s="491"/>
      <c r="AB32" s="492"/>
      <c r="AC32" s="492"/>
      <c r="BB32" s="280" t="n">
        <f aca="false">IF(A32="","",1)</f>
        <v>1</v>
      </c>
    </row>
    <row r="33" customFormat="false" ht="12.75" hidden="false" customHeight="false" outlineLevel="0" collapsed="false">
      <c r="A33" s="493" t="s">
        <v>1932</v>
      </c>
      <c r="B33" s="494" t="n">
        <v>0.005</v>
      </c>
      <c r="C33" s="495" t="n">
        <v>0.1</v>
      </c>
      <c r="D33" s="477" t="str">
        <f aca="false">IF(ISERROR(VLOOKUP($A33,'liste reference'!$A$7:$D$904,2,0)),IF(ISERROR(VLOOKUP($A33,'liste reference'!$B$7:$D$904,1,0)),"",VLOOKUP($A33,'liste reference'!$B$7:$D$904,1,0)),VLOOKUP($A33,'liste reference'!$A$7:$D$904,2,0))</f>
        <v>Lythrum salicaria</v>
      </c>
      <c r="E33" s="496" t="e">
        <f aca="false">IF(D33="",0,VLOOKUP(D33,D$22:D32,1,0))</f>
        <v>#N/A</v>
      </c>
      <c r="F33" s="497" t="n">
        <f aca="false">($B33*$B$7+$C33*$C$7)/100</f>
        <v>0.0867</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Lythrum salicaria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1823</v>
      </c>
      <c r="Q33" s="486" t="n">
        <f aca="false">IF(ISTEXT(H33),"",(B33*$B$7/100)+(C33*$C$7/100))</f>
        <v>0.0867</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LYTSAL</v>
      </c>
      <c r="Z33" s="280" t="n">
        <f aca="false">IF(ISERROR(MATCH(A33,'liste reference'!$A$8:$A$904,0)),IF(ISERROR(MATCH(A33,'liste reference'!$B$8:$B$904,0)),"",(MATCH(A33,'liste reference'!$B$8:$B$904,0))),(MATCH(A33,'liste reference'!$A$8:$A$904,0)))</f>
        <v>605</v>
      </c>
      <c r="AA33" s="491"/>
      <c r="AB33" s="492"/>
      <c r="AC33" s="492"/>
      <c r="BB33" s="280" t="n">
        <f aca="false">IF(A33="","",1)</f>
        <v>1</v>
      </c>
    </row>
    <row r="34" customFormat="false" ht="12.75" hidden="false" customHeight="false" outlineLevel="0" collapsed="false">
      <c r="A34" s="493" t="s">
        <v>1982</v>
      </c>
      <c r="B34" s="494" t="n">
        <v>0.01</v>
      </c>
      <c r="C34" s="495" t="n">
        <v>0.05</v>
      </c>
      <c r="D34" s="477" t="str">
        <f aca="false">IF(ISERROR(VLOOKUP($A34,'liste reference'!$A$7:$D$904,2,0)),IF(ISERROR(VLOOKUP($A34,'liste reference'!$B$7:$D$904,1,0)),"",VLOOKUP($A34,'liste reference'!$B$7:$D$904,1,0)),VLOOKUP($A34,'liste reference'!$A$7:$D$904,2,0))</f>
        <v>Myriophyllum aquaticum</v>
      </c>
      <c r="E34" s="496" t="e">
        <f aca="false">IF(D34="",0,VLOOKUP(D34,D$22:D33,1,0))</f>
        <v>#N/A</v>
      </c>
      <c r="F34" s="501" t="n">
        <f aca="false">($B34*$B$7+$C34*$C$7)/100</f>
        <v>0.0444</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Myriophyllum aquaticum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19871</v>
      </c>
      <c r="Q34" s="486" t="n">
        <f aca="false">IF(ISTEXT(H34),"",(B34*$B$7/100)+(C34*$C$7/100))</f>
        <v>0.0444</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MYRAQU</v>
      </c>
      <c r="Z34" s="280" t="n">
        <f aca="false">IF(ISERROR(MATCH(A34,'liste reference'!$A$8:$A$904,0)),IF(ISERROR(MATCH(A34,'liste reference'!$B$8:$B$904,0)),"",(MATCH(A34,'liste reference'!$B$8:$B$904,0))),(MATCH(A34,'liste reference'!$A$8:$A$904,0)))</f>
        <v>627</v>
      </c>
      <c r="AA34" s="491"/>
      <c r="AB34" s="492"/>
      <c r="AC34" s="492"/>
      <c r="BB34" s="280" t="n">
        <f aca="false">IF(A34="","",1)</f>
        <v>1</v>
      </c>
    </row>
    <row r="35" customFormat="false" ht="12.75" hidden="false" customHeight="false" outlineLevel="0" collapsed="false">
      <c r="A35" s="493" t="s">
        <v>2000</v>
      </c>
      <c r="B35" s="494"/>
      <c r="C35" s="495" t="n">
        <v>0.005</v>
      </c>
      <c r="D35" s="477" t="str">
        <f aca="false">IF(ISERROR(VLOOKUP($A35,'liste reference'!$A$7:$D$904,2,0)),IF(ISERROR(VLOOKUP($A35,'liste reference'!$B$7:$D$904,1,0)),"",VLOOKUP($A35,'liste reference'!$B$7:$D$904,1,0)),VLOOKUP($A35,'liste reference'!$A$7:$D$904,2,0))</f>
        <v>Phalaris arundinacea</v>
      </c>
      <c r="E35" s="496" t="e">
        <f aca="false">IF(D35="",0,VLOOKUP(D35,D$22:D34,1,0))</f>
        <v>#N/A</v>
      </c>
      <c r="F35" s="501" t="n">
        <f aca="false">($B35*$B$7+$C35*$C$7)/100</f>
        <v>0.0043</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Phalaris arundinacea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1577</v>
      </c>
      <c r="Q35" s="486" t="n">
        <f aca="false">IF(ISTEXT(H35),"",(B35*$B$7/100)+(C35*$C$7/100))</f>
        <v>0.0043</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PHAARU</v>
      </c>
      <c r="Z35" s="280" t="n">
        <f aca="false">IF(ISERROR(MATCH(A35,'liste reference'!$A$8:$A$904,0)),IF(ISERROR(MATCH(A35,'liste reference'!$B$8:$B$904,0)),"",(MATCH(A35,'liste reference'!$B$8:$B$904,0))),(MATCH(A35,'liste reference'!$A$8:$A$904,0)))</f>
        <v>634</v>
      </c>
      <c r="AA35" s="491"/>
      <c r="AB35" s="492"/>
      <c r="AC35" s="492"/>
      <c r="BB35" s="280" t="n">
        <f aca="false">IF(A35="","",1)</f>
        <v>1</v>
      </c>
    </row>
    <row r="36" customFormat="false" ht="12.75" hidden="false" customHeight="false" outlineLevel="0" collapsed="false">
      <c r="A36" s="493" t="s">
        <v>2080</v>
      </c>
      <c r="B36" s="494" t="n">
        <v>0.005</v>
      </c>
      <c r="C36" s="495" t="n">
        <v>0.02</v>
      </c>
      <c r="D36" s="477" t="str">
        <f aca="false">IF(ISERROR(VLOOKUP($A36,'liste reference'!$A$7:$D$904,2,0)),IF(ISERROR(VLOOKUP($A36,'liste reference'!$B$7:$D$904,1,0)),"",VLOOKUP($A36,'liste reference'!$B$7:$D$904,1,0)),VLOOKUP($A36,'liste reference'!$A$7:$D$904,2,0))</f>
        <v>Sparganium erectum</v>
      </c>
      <c r="E36" s="496" t="e">
        <f aca="false">IF(D36="",0,VLOOKUP(D36,D$22:D35,1,0))</f>
        <v>#N/A</v>
      </c>
      <c r="F36" s="501" t="n">
        <f aca="false">($B36*$B$7+$C36*$C$7)/100</f>
        <v>0.0179</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Sparganium erectum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1671</v>
      </c>
      <c r="Q36" s="486" t="n">
        <f aca="false">IF(ISTEXT(H36),"",(B36*$B$7/100)+(C36*$C$7/100))</f>
        <v>0.0179</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SPAERE</v>
      </c>
      <c r="Z36" s="280" t="n">
        <f aca="false">IF(ISERROR(MATCH(A36,'liste reference'!$A$8:$A$904,0)),IF(ISERROR(MATCH(A36,'liste reference'!$B$8:$B$904,0)),"",(MATCH(A36,'liste reference'!$B$8:$B$904,0))),(MATCH(A36,'liste reference'!$A$8:$A$904,0)))</f>
        <v>668</v>
      </c>
      <c r="AA36" s="491"/>
      <c r="AB36" s="492"/>
      <c r="AC36" s="492"/>
      <c r="BB36" s="280" t="n">
        <f aca="false">IF(A36="","",1)</f>
        <v>1</v>
      </c>
    </row>
    <row r="37" customFormat="false" ht="12.75" hidden="false" customHeight="false" outlineLevel="0" collapsed="false">
      <c r="A37" s="493" t="s">
        <v>2147</v>
      </c>
      <c r="B37" s="494"/>
      <c r="C37" s="495" t="n">
        <v>0.02</v>
      </c>
      <c r="D37" s="477" t="str">
        <f aca="false">IF(ISERROR(VLOOKUP($A37,'liste reference'!$A$7:$D$904,2,0)),IF(ISERROR(VLOOKUP($A37,'liste reference'!$B$7:$D$904,1,0)),"",VLOOKUP($A37,'liste reference'!$B$7:$D$904,1,0)),VLOOKUP($A37,'liste reference'!$A$7:$D$904,2,0))</f>
        <v>Arundo donax</v>
      </c>
      <c r="E37" s="496" t="e">
        <f aca="false">IF(D37="",0,VLOOKUP(D37,D$22:D36,1,0))</f>
        <v>#N/A</v>
      </c>
      <c r="F37" s="501" t="n">
        <f aca="false">($B37*$B$7+$C37*$C$7)/100</f>
        <v>0.0172</v>
      </c>
      <c r="G37" s="479" t="str">
        <f aca="false">IF(A37="","",IF(ISERROR(VLOOKUP($A37,'liste reference'!$A$7:$P$904,13,0)),IF(ISERROR(VLOOKUP($A37,'liste reference'!$B$7:$P$904,12,0)),"    -",VLOOKUP($A37,'liste reference'!$B$7:$P$904,12,0)),VLOOKUP($A37,'liste reference'!$A$7:$P$904,13,0)))</f>
        <v>PHg</v>
      </c>
      <c r="H37" s="480" t="n">
        <f aca="false">IF(A37="","x",IF(ISERROR(VLOOKUP($A37,'liste reference'!$A$8:$P$904,14,0)),IF(ISERROR(VLOOKUP($A37,'liste reference'!$B$8:$P$904,13,0)),"x",VLOOKUP($A37,'liste reference'!$B$8:$P$904,13,0)),VLOOKUP($A37,'liste reference'!$A$8:$P$904,14,0)))</f>
        <v>9</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Arundo donax</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1551</v>
      </c>
      <c r="Q37" s="486" t="n">
        <f aca="false">IF(ISTEXT(H37),"",(B37*$B$7/100)+(C37*$C$7/100))</f>
        <v>0.0172</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ARUDON</v>
      </c>
      <c r="Z37" s="280" t="n">
        <f aca="false">IF(ISERROR(MATCH(A37,'liste reference'!$A$8:$A$904,0)),IF(ISERROR(MATCH(A37,'liste reference'!$B$8:$B$904,0)),"",(MATCH(A37,'liste reference'!$B$8:$B$904,0))),(MATCH(A37,'liste reference'!$A$8:$A$904,0)))</f>
        <v>698</v>
      </c>
      <c r="AA37" s="491"/>
      <c r="AB37" s="492"/>
      <c r="AC37" s="492"/>
      <c r="BB37" s="280" t="n">
        <f aca="false">IF(A37="","",1)</f>
        <v>1</v>
      </c>
    </row>
    <row r="38" customFormat="false" ht="12.75" hidden="false" customHeight="false" outlineLevel="0" collapsed="false">
      <c r="A38" s="493" t="s">
        <v>2202</v>
      </c>
      <c r="B38" s="494" t="n">
        <v>0.005</v>
      </c>
      <c r="C38" s="495"/>
      <c r="D38" s="477" t="str">
        <f aca="false">IF(ISERROR(VLOOKUP($A38,'liste reference'!$A$7:$D$904,2,0)),IF(ISERROR(VLOOKUP($A38,'liste reference'!$B$7:$D$904,1,0)),"",VLOOKUP($A38,'liste reference'!$B$7:$D$904,1,0)),VLOOKUP($A38,'liste reference'!$A$7:$D$904,2,0))</f>
        <v>Cyperus eragrostis</v>
      </c>
      <c r="E38" s="496" t="e">
        <f aca="false">IF(D38="",0,VLOOKUP(D38,D$22:D37,1,0))</f>
        <v>#N/A</v>
      </c>
      <c r="F38" s="501" t="n">
        <f aca="false">($B38*$B$7+$C38*$C$7)/100</f>
        <v>0.0007</v>
      </c>
      <c r="G38" s="479" t="str">
        <f aca="false">IF(A38="","",IF(ISERROR(VLOOKUP($A38,'liste reference'!$A$7:$P$904,13,0)),IF(ISERROR(VLOOKUP($A38,'liste reference'!$B$7:$P$904,12,0)),"    -",VLOOKUP($A38,'liste reference'!$B$7:$P$904,12,0)),VLOOKUP($A38,'liste reference'!$A$7:$P$904,13,0)))</f>
        <v>PHg</v>
      </c>
      <c r="H38" s="480" t="n">
        <f aca="false">IF(A38="","x",IF(ISERROR(VLOOKUP($A38,'liste reference'!$A$8:$P$904,14,0)),IF(ISERROR(VLOOKUP($A38,'liste reference'!$B$8:$P$904,13,0)),"x",VLOOKUP($A38,'liste reference'!$B$8:$P$904,13,0)),VLOOKUP($A38,'liste reference'!$A$8:$P$904,14,0)))</f>
        <v>9</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Cyperus eragrostis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19611</v>
      </c>
      <c r="Q38" s="486" t="n">
        <f aca="false">IF(ISTEXT(H38),"",(B38*$B$7/100)+(C38*$C$7/100))</f>
        <v>0.0007</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X38" s="489"/>
      <c r="Y38" s="490" t="str">
        <f aca="false">IF(A38="new.cod","NEWCOD",IF(AND((Z38=""),ISTEXT(A38)),A38,IF(Z38="","",INDEX('liste reference'!$A$8:$A$904,Z38))))</f>
        <v>CYPERA</v>
      </c>
      <c r="Z38" s="280" t="n">
        <f aca="false">IF(ISERROR(MATCH(A38,'liste reference'!$A$8:$A$904,0)),IF(ISERROR(MATCH(A38,'liste reference'!$B$8:$B$904,0)),"",(MATCH(A38,'liste reference'!$B$8:$B$904,0))),(MATCH(A38,'liste reference'!$A$8:$A$904,0)))</f>
        <v>723</v>
      </c>
      <c r="AA38" s="491"/>
      <c r="AB38" s="492"/>
      <c r="AC38" s="492"/>
      <c r="BB38" s="280" t="n">
        <f aca="false">IF(A38="","",1)</f>
        <v>1</v>
      </c>
    </row>
    <row r="39" customFormat="false" ht="12.75" hidden="false" customHeight="false" outlineLevel="0" collapsed="false">
      <c r="A39" s="493" t="s">
        <v>2686</v>
      </c>
      <c r="B39" s="494" t="n">
        <v>0.005</v>
      </c>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0.0007</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Paspalum distichum</v>
      </c>
      <c r="L39" s="498"/>
      <c r="M39" s="498"/>
      <c r="N39" s="498"/>
      <c r="O39" s="484" t="s">
        <v>2685</v>
      </c>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t="s">
        <v>2685</v>
      </c>
      <c r="AB39" s="492" t="s">
        <v>2687</v>
      </c>
      <c r="AC39" s="492"/>
      <c r="BB39" s="280" t="n">
        <f aca="false">IF(A39="","",1)</f>
        <v>1</v>
      </c>
    </row>
    <row r="40" customFormat="false" ht="12.75" hidden="false" customHeight="false" outlineLevel="0" collapsed="false">
      <c r="A40" s="493" t="s">
        <v>2686</v>
      </c>
      <c r="B40" s="494"/>
      <c r="C40" s="495" t="n">
        <v>0.005</v>
      </c>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0.0043</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Bidens frondosa</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2688</v>
      </c>
      <c r="AC40" s="492"/>
      <c r="BB40" s="280" t="n">
        <f aca="false">IF(A40="","",1)</f>
        <v>1</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GISCLE</v>
      </c>
      <c r="B84" s="529" t="str">
        <f aca="false">C3</f>
        <v>Cogolin</v>
      </c>
      <c r="C84" s="530" t="n">
        <f aca="false">A4</f>
        <v>41786</v>
      </c>
      <c r="D84" s="531" t="n">
        <f aca="false">IF(ISERROR(SUM($T$23:$T$82)/SUM($U$23:$U$82)),"",SUM($T$23:$T$82)/SUM($U$23:$U$82))</f>
        <v>8.375</v>
      </c>
      <c r="E84" s="532" t="n">
        <f aca="false">N13</f>
        <v>18</v>
      </c>
      <c r="F84" s="529" t="n">
        <f aca="false">N14</f>
        <v>16</v>
      </c>
      <c r="G84" s="529" t="n">
        <f aca="false">N15</f>
        <v>5</v>
      </c>
      <c r="H84" s="529" t="n">
        <f aca="false">N16</f>
        <v>4</v>
      </c>
      <c r="I84" s="529" t="n">
        <f aca="false">N17</f>
        <v>0</v>
      </c>
      <c r="J84" s="533" t="n">
        <f aca="false">N8</f>
        <v>4.9375</v>
      </c>
      <c r="K84" s="531" t="n">
        <f aca="false">N9</f>
        <v>4.72319740747727</v>
      </c>
      <c r="L84" s="532" t="n">
        <f aca="false">N10</f>
        <v>0</v>
      </c>
      <c r="M84" s="532" t="n">
        <f aca="false">N11</f>
        <v>13</v>
      </c>
      <c r="N84" s="531" t="n">
        <f aca="false">O8</f>
        <v>0.8125</v>
      </c>
      <c r="O84" s="531" t="n">
        <f aca="false">O9</f>
        <v>0.807677998957505</v>
      </c>
      <c r="P84" s="532" t="n">
        <f aca="false">O10</f>
        <v>0</v>
      </c>
      <c r="Q84" s="532" t="n">
        <f aca="false">O11</f>
        <v>2</v>
      </c>
      <c r="R84" s="532" t="n">
        <f aca="false">F21</f>
        <v>0.64012</v>
      </c>
      <c r="S84" s="532" t="n">
        <f aca="false">K11</f>
        <v>0</v>
      </c>
      <c r="T84" s="532" t="n">
        <f aca="false">K12</f>
        <v>4</v>
      </c>
      <c r="U84" s="532" t="n">
        <f aca="false">K13</f>
        <v>2</v>
      </c>
      <c r="V84" s="534" t="n">
        <f aca="false">K14</f>
        <v>1</v>
      </c>
      <c r="W84" s="535" t="n">
        <f aca="false">K15</f>
        <v>9</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20</v>
      </c>
      <c r="T87" s="280"/>
      <c r="U87" s="280"/>
      <c r="V87" s="280"/>
    </row>
    <row r="88" customFormat="false" ht="12.75" hidden="true" customHeight="false" outlineLevel="0" collapsed="false">
      <c r="P88" s="280"/>
      <c r="Q88" s="280" t="s">
        <v>2692</v>
      </c>
      <c r="R88" s="280"/>
      <c r="S88" s="488" t="n">
        <f aca="false">VLOOKUP((S87),($S$23:$U$82),2,0)</f>
        <v>20</v>
      </c>
      <c r="T88" s="280"/>
      <c r="U88" s="280"/>
      <c r="V88" s="280"/>
    </row>
    <row r="89" customFormat="false" ht="12.75" hidden="true" customHeight="false" outlineLevel="0" collapsed="false">
      <c r="Q89" s="280" t="s">
        <v>2693</v>
      </c>
      <c r="R89" s="280"/>
      <c r="S89" s="488" t="n">
        <f aca="false">VLOOKUP((S87),($S$23:$U$82),3,0)</f>
        <v>2</v>
      </c>
      <c r="T89" s="280"/>
    </row>
    <row r="90" customFormat="false" ht="12.75" hidden="false" customHeight="false" outlineLevel="0" collapsed="false">
      <c r="Q90" s="280" t="s">
        <v>2694</v>
      </c>
      <c r="R90" s="280"/>
      <c r="S90" s="538" t="n">
        <f aca="false">IF(ISERROR(SUM($T$23:$T$82)/SUM($U$23:$U$82)),"",(SUM($T$23:$T$82)-S88)/(SUM($U$23:$U$82)-S89))</f>
        <v>8.14285714285714</v>
      </c>
      <c r="T90" s="280"/>
    </row>
    <row r="91" customFormat="false" ht="12.75" hidden="false" customHeight="false" outlineLevel="0" collapsed="false">
      <c r="Q91" s="487" t="s">
        <v>2695</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2696</v>
      </c>
      <c r="R92" s="280"/>
      <c r="S92" s="280" t="n">
        <f aca="false">MATCH(S87,$S$23:$S$82,0)</f>
        <v>3</v>
      </c>
      <c r="T92" s="280"/>
    </row>
    <row r="93" customFormat="false" ht="12.75" hidden="false" customHeight="false" outlineLevel="0" collapsed="false">
      <c r="Q93" s="487" t="s">
        <v>2697</v>
      </c>
      <c r="R93" s="280"/>
      <c r="S93" s="487" t="str">
        <f aca="false">INDEX($A$23:$A$82,$S$92)</f>
        <v>MELSPX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2015-03-30T10:44:58Z</dcterms:modified>
  <cp:revision>0</cp:revision>
  <dc:subject/>
  <dc:title>Feuille d'aide au calcul de l'IBMR</dc:title>
</cp:coreProperties>
</file>