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Esteron Gilette- La Clave" sheetId="6" state="visible" r:id="rId8"/>
    <sheet name="modele" sheetId="7" state="hidden" r:id="rId9"/>
    <sheet name="liste codes réf" sheetId="8" state="hidden" r:id="rId10"/>
  </sheets>
  <definedNames>
    <definedName function="false" hidden="false" localSheetId="5" name="_xlnm.Print_Area" vbProcedure="false">'Esteron Gilette- La Clave'!$A$1:$O$82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'Esteron Gilette- La Clave'!$A$23:$J$84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<sst xmlns="http://schemas.openxmlformats.org/spreadsheetml/2006/main" count="7369" uniqueCount="2735">
  <si>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</si>
  <si>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</si>
  <si>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</si>
  <si>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</si>
  <si>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</si>
  <si>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</si>
  <si>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</si>
  <si>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</si>
  <si>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</si>
  <si>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</si>
  <si>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</si>
  <si>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</si>
  <si>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</si>
  <si>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</si>
  <si>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</si>
  <si>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</si>
  <si>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</si>
  <si>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</si>
  <si>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</si>
  <si>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</si>
  <si>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</si>
  <si>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</si>
  <si>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</si>
  <si>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</si>
  <si>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</si>
  <si>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</si>
  <si>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</si>
  <si>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</si>
  <si>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</si>
  <si>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</si>
  <si>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</si>
  <si>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</si>
  <si>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</si>
  <si>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</si>
  <si>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</si>
  <si>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</si>
  <si>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</si>
  <si>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</si>
  <si>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</si>
  <si>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</si>
  <si>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</si>
  <si>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</si>
  <si>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</si>
  <si>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</si>
  <si>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</si>
  <si>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</si>
  <si>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</si>
  <si>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</si>
  <si>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</si>
  <si>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</si>
  <si>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</si>
  <si>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</si>
  <si>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</si>
  <si>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</si>
  <si>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</si>
  <si>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</si>
  <si>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</si>
  <si>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</si>
  <si>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</si>
  <si>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</si>
  <si>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</si>
  <si>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</si>
  <si>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</si>
  <si>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</si>
  <si>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</si>
  <si>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</si>
  <si>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</si>
  <si>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</si>
  <si>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</si>
  <si>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</si>
  <si>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</si>
  <si>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</si>
  <si>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</si>
  <si>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</si>
  <si>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</si>
  <si>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</si>
  <si>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</si>
  <si>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</si>
  <si>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</si>
  <si>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</si>
  <si>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</si>
  <si>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</si>
  <si>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</si>
  <si>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</si>
  <si>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</si>
  <si>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</si>
  <si>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</si>
  <si>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</si>
  <si>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</si>
  <si>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</si>
  <si>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</si>
  <si>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</si>
  <si>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</si>
  <si>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</si>
  <si>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</si>
  <si>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</si>
  <si>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</si>
  <si>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</si>
  <si>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</si>
  <si>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</si>
  <si>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</si>
  <si>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</si>
  <si>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</si>
  <si>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</si>
  <si>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</si>
  <si>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</si>
  <si>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</si>
  <si>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</si>
  <si>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</si>
  <si>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</si>
  <si>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</si>
  <si>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</si>
  <si>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</si>
  <si>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</si>
  <si>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</si>
  <si>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</si>
  <si>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</si>
  <si>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</si>
  <si>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</si>
  <si>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</si>
  <si>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</si>
  <si>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</si>
  <si>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</si>
  <si>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</si>
  <si>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</si>
  <si>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</si>
  <si>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</si>
  <si>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</si>
  <si>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</si>
  <si>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</si>
  <si>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</si>
  <si>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</si>
  <si>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</si>
  <si>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</si>
  <si>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</si>
  <si>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</si>
  <si>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</si>
  <si>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</si>
  <si>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</si>
  <si>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</si>
  <si>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</si>
  <si>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</si>
  <si>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</si>
  <si>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</si>
  <si>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</si>
  <si>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</si>
  <si>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</si>
  <si>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</si>
  <si>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</si>
  <si>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</si>
  <si>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</si>
  <si>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</si>
  <si>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</si>
  <si>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</si>
  <si>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</si>
  <si>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</si>
  <si>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</si>
  <si>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</si>
  <si>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</si>
  <si>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</si>
  <si>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</si>
  <si>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</si>
  <si>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</si>
  <si>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</si>
  <si>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</si>
  <si>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</si>
  <si>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</si>
  <si>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</si>
  <si>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</si>
  <si>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</si>
  <si>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</si>
  <si>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</si>
  <si>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</si>
  <si>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</si>
  <si>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</si>
  <si>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</si>
  <si>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</si>
  <si>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</si>
  <si>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</si>
  <si>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</si>
  <si>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</si>
  <si>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</si>
  <si>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</si>
  <si>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</si>
  <si>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</si>
  <si>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</si>
  <si>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</si>
  <si>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</si>
  <si>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</si>
  <si>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</si>
  <si>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</si>
  <si>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</si>
  <si>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</si>
  <si>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</si>
  <si>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</si>
  <si>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</si>
  <si>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</si>
  <si>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</si>
  <si>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</si>
  <si>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</si>
  <si>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</si>
  <si>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</si>
  <si>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</si>
  <si>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</si>
  <si>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</si>
  <si>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</si>
  <si>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</si>
  <si>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</si>
  <si>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</si>
  <si>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</si>
  <si>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</si>
  <si>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</si>
  <si>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</si>
  <si>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</si>
  <si>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</si>
  <si>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</si>
  <si>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</si>
  <si>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</si>
  <si>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</si>
  <si>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</si>
  <si>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</si>
  <si>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</si>
  <si>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</si>
  <si>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</si>
  <si>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</si>
  <si>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</si>
  <si>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</si>
  <si>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</si>
  <si>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</si>
  <si>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</si>
  <si>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</si>
  <si>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</si>
  <si>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</si>
  <si>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</si>
  <si>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</si>
  <si>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</si>
  <si>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</si>
  <si>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</si>
  <si>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</si>
  <si>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</si>
  <si>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</si>
  <si>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</si>
  <si>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</si>
  <si>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</si>
  <si>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</si>
  <si>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</si>
  <si>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</si>
  <si>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</si>
  <si>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</si>
  <si>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</si>
  <si>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</si>
  <si>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</si>
  <si>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</si>
  <si>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</si>
  <si>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</si>
  <si>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</si>
  <si>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</si>
  <si>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</si>
  <si>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</si>
  <si>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</si>
  <si>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</si>
  <si>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</si>
  <si>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</si>
  <si>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</si>
  <si>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</si>
  <si>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</si>
  <si>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</si>
  <si>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</si>
  <si>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</si>
  <si>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</si>
  <si>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</si>
  <si>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</si>
  <si>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</si>
  <si>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</si>
  <si>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</si>
  <si>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</si>
  <si>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</si>
  <si>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</si>
  <si>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</si>
  <si>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</si>
  <si>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</si>
  <si>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</si>
  <si>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</si>
  <si>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</si>
  <si>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</si>
  <si>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</si>
  <si>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</si>
  <si>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</si>
  <si>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</si>
  <si>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</si>
  <si>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</si>
  <si>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</si>
  <si>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</si>
  <si>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</si>
  <si>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</si>
  <si>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</si>
  <si>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</si>
  <si>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</si>
  <si>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</si>
  <si>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</si>
  <si>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</si>
  <si>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</si>
  <si>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</si>
  <si>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</si>
  <si>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</si>
  <si>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</si>
  <si>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</si>
  <si>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</si>
  <si>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</si>
  <si>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</si>
  <si>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</si>
  <si>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</si>
  <si>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</si>
  <si>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</si>
  <si>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</si>
  <si>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</si>
  <si>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</si>
  <si>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</si>
  <si>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</si>
  <si>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</si>
  <si>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</si>
  <si>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</si>
  <si>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</si>
  <si>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</si>
  <si>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</si>
  <si>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</si>
  <si>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</si>
  <si>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</si>
  <si>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</si>
  <si>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</si>
  <si>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</si>
  <si>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</si>
  <si>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</si>
  <si>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</si>
  <si>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</si>
  <si>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</si>
  <si>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</si>
  <si>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</si>
  <si>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</si>
  <si>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</si>
  <si>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</si>
  <si>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</si>
  <si>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</si>
  <si>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</si>
  <si>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</si>
  <si>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</si>
  <si>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</si>
  <si>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</si>
  <si>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</si>
  <si>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</si>
  <si>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</si>
  <si>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</si>
  <si>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</si>
  <si>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</si>
  <si>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</si>
  <si>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</si>
  <si>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</si>
  <si>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</si>
  <si>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</si>
  <si>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</si>
  <si>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</si>
  <si>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</si>
  <si>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</si>
  <si>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</si>
  <si>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</si>
  <si>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</si>
  <si>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</si>
  <si>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</si>
  <si>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</si>
  <si>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</si>
  <si>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</si>
  <si>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</si>
  <si>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</si>
  <si>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</si>
  <si>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</si>
  <si>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</si>
  <si>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</si>
  <si>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</si>
  <si>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</si>
  <si>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</si>
  <si>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</si>
  <si>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</si>
  <si>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</si>
  <si>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</si>
  <si>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</si>
  <si>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</si>
  <si>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</si>
  <si>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</si>
  <si>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</si>
  <si>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</si>
  <si>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</si>
  <si>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</si>
  <si>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</si>
  <si>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</si>
  <si>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</si>
  <si>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</si>
  <si>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</si>
  <si>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</si>
  <si>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</si>
  <si>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</si>
  <si>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</si>
  <si>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</si>
  <si>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</si>
  <si>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</si>
  <si>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</si>
  <si>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</si>
  <si>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</si>
  <si>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</si>
  <si>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</si>
  <si>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</si>
  <si>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</si>
  <si>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</si>
  <si>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</si>
  <si>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</si>
  <si>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</si>
  <si>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</si>
  <si>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</si>
  <si>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</si>
  <si>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</si>
  <si>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</si>
  <si>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</si>
  <si>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</si>
  <si>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</si>
  <si>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</si>
  <si>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</si>
  <si>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</si>
  <si>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</si>
  <si>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</si>
  <si>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</si>
  <si>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</si>
  <si>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</si>
  <si>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</si>
  <si>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</si>
  <si>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</si>
  <si>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</si>
  <si>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</si>
  <si>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</si>
  <si>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</si>
  <si>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</si>
  <si>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</si>
  <si>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</si>
  <si>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</si>
  <si>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</si>
  <si>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</si>
  <si>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</si>
  <si>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</si>
  <si>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</si>
  <si>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</si>
  <si>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</si>
  <si>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</si>
  <si>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</si>
  <si>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</si>
  <si>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</si>
  <si>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</si>
  <si>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</si>
  <si>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</si>
  <si>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</si>
  <si>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</si>
  <si>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</si>
  <si>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</si>
  <si>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</si>
  <si>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</si>
  <si>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</si>
  <si>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</si>
  <si>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</si>
  <si>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</si>
  <si>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</si>
  <si>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</si>
  <si>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</si>
  <si>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</si>
  <si>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</si>
  <si>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</si>
  <si>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</si>
  <si>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</si>
  <si>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</si>
  <si>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</si>
  <si>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</si>
  <si>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</si>
  <si>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</si>
  <si>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</si>
  <si>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</si>
  <si>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</si>
  <si>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</si>
  <si>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</si>
  <si>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</si>
  <si>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</si>
  <si>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</si>
  <si>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</si>
  <si>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</si>
  <si>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</si>
  <si>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</si>
  <si>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</si>
  <si>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</si>
  <si>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</si>
  <si>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</si>
  <si>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</si>
  <si>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</si>
  <si>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</si>
  <si>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</si>
  <si>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</si>
  <si>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</si>
  <si>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</si>
  <si>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</si>
  <si>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</si>
  <si>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</si>
  <si>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</si>
  <si>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</si>
  <si>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</si>
  <si>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</si>
  <si>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</si>
  <si>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</si>
  <si>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</si>
  <si>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</si>
  <si>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</si>
  <si>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</si>
  <si>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</si>
  <si>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</si>
  <si>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</si>
  <si>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</si>
  <si>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</si>
  <si>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</si>
  <si>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</si>
  <si>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</si>
  <si>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</si>
  <si>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</si>
  <si>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</si>
  <si>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</si>
  <si>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</si>
  <si>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</si>
  <si>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</si>
  <si>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</si>
  <si>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</si>
  <si>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</si>
  <si>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</si>
  <si>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</si>
  <si>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</si>
  <si>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</si>
  <si>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</si>
  <si>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</si>
  <si>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</si>
  <si>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</si>
  <si>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</si>
  <si>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</si>
  <si>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</si>
  <si>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</si>
  <si>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</si>
  <si>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</si>
  <si>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</si>
  <si>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</si>
  <si>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</si>
  <si>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</si>
  <si>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</si>
  <si>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</si>
  <si>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</si>
  <si>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</si>
  <si>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</si>
  <si>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</si>
  <si>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</si>
  <si>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</si>
  <si>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</si>
  <si>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</si>
  <si>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</si>
  <si>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</si>
  <si>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</si>
  <si>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</si>
  <si>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</si>
  <si>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</si>
  <si>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</si>
  <si>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</si>
  <si>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</si>
  <si>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</si>
  <si>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</si>
  <si>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</si>
  <si>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</si>
  <si>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</si>
  <si>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</si>
  <si>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</si>
  <si>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</si>
  <si>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</si>
  <si>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</si>
  <si>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</si>
  <si>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</si>
  <si>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</si>
  <si>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</si>
  <si>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</si>
  <si>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</si>
  <si>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</si>
  <si>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</si>
  <si>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</si>
  <si>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</si>
  <si>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</si>
  <si>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</si>
  <si>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</si>
  <si>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</si>
  <si>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</si>
  <si>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</si>
  <si>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</si>
  <si>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</si>
  <si>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</si>
  <si>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</si>
  <si>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</si>
  <si>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</si>
  <si>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</si>
  <si>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</si>
  <si>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</si>
  <si>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</si>
  <si>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</si>
  <si>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</si>
  <si>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</si>
  <si>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</si>
  <si>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</si>
  <si>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</si>
  <si>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</si>
  <si>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</si>
  <si>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</si>
  <si>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</si>
  <si>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</si>
  <si>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</si>
  <si>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</si>
  <si>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</si>
  <si>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</si>
  <si>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</si>
  <si>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</si>
  <si>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</si>
  <si>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</si>
  <si>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</si>
  <si>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</si>
  <si>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</si>
  <si>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</si>
  <si>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</si>
  <si>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</si>
  <si>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</si>
  <si>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</si>
  <si>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</si>
  <si>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</si>
  <si>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</si>
  <si>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</si>
  <si>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</si>
  <si>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</si>
  <si>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</si>
  <si>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</si>
  <si>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</si>
  <si>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</si>
  <si>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</si>
  <si>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</si>
  <si>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</si>
  <si>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</si>
  <si>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</si>
  <si>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</si>
  <si>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</si>
  <si>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</si>
  <si>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</si>
  <si>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</si>
  <si>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</si>
  <si>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</si>
  <si>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</si>
  <si>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</si>
  <si>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</si>
  <si>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</si>
  <si>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</si>
  <si>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</si>
  <si>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</si>
  <si>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</si>
  <si>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</si>
  <si>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</si>
  <si>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</si>
  <si>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</si>
  <si>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</si>
  <si>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</si>
  <si>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</si>
  <si>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</si>
  <si>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</si>
  <si>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</si>
  <si>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</si>
  <si>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</si>
  <si>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</si>
  <si>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</si>
  <si>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</si>
  <si>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</si>
  <si>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</si>
  <si>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</si>
  <si>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</si>
  <si>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</si>
  <si>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</si>
  <si>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</si>
  <si>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</si>
  <si>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</si>
  <si>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</si>
  <si>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</si>
  <si>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</si>
  <si>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</si>
  <si>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</si>
  <si>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</si>
  <si>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</si>
  <si>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</si>
  <si>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</si>
  <si>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</si>
  <si>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</si>
  <si>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</si>
  <si>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</si>
  <si>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</si>
  <si>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</si>
  <si>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</si>
  <si>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</si>
  <si>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</si>
  <si>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</si>
  <si>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</si>
  <si>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</si>
  <si>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</si>
  <si>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</si>
  <si>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</si>
  <si>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</si>
  <si>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</si>
  <si>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</si>
  <si>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</si>
  <si>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</si>
  <si>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</si>
  <si>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</si>
  <si>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</si>
  <si>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</si>
  <si>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</si>
  <si>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</si>
  <si>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</si>
  <si>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</si>
  <si>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</si>
  <si>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</si>
  <si>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</si>
  <si>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</si>
  <si>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</si>
  <si>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</si>
  <si>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</si>
  <si>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</si>
  <si>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</si>
  <si>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</si>
  <si>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</si>
  <si>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</si>
  <si>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</si>
  <si>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</si>
  <si>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</si>
  <si>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</si>
  <si>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</si>
  <si>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</si>
  <si>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</si>
  <si>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</si>
  <si>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</si>
  <si>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</si>
  <si>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</si>
  <si>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</si>
  <si>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</si>
  <si>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</si>
  <si>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</si>
  <si>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</si>
  <si>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</si>
  <si>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</si>
  <si>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</si>
  <si>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</si>
  <si>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</si>
  <si>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</si>
  <si>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</si>
  <si>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</si>
  <si>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</si>
  <si>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</si>
  <si>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</si>
  <si>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</si>
  <si>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</si>
  <si>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</si>
  <si>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</si>
  <si>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</si>
  <si>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</si>
  <si>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</si>
  <si>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</si>
  <si>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</si>
  <si>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</si>
  <si>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</si>
  <si>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</si>
  <si>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</si>
  <si>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</si>
  <si>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</si>
  <si>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</si>
  <si>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</si>
  <si>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</si>
  <si>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</si>
  <si>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</si>
  <si>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</si>
  <si>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</si>
  <si>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</si>
  <si>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</si>
  <si>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</si>
  <si>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</si>
  <si>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</si>
  <si>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</si>
  <si>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</si>
  <si>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</si>
  <si>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</si>
  <si>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</si>
  <si>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</si>
  <si>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</si>
  <si>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</si>
  <si>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</si>
  <si>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</si>
  <si>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</si>
  <si>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</si>
  <si>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</si>
  <si>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</si>
  <si>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</si>
  <si>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</si>
  <si>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</si>
  <si>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</si>
  <si>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</si>
  <si>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</si>
  <si>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</si>
  <si>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</si>
  <si>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</si>
  <si>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</si>
  <si>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</si>
  <si>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</si>
  <si>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</si>
  <si>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</si>
  <si>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</si>
  <si>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</si>
  <si>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</si>
  <si>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</si>
  <si>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</si>
  <si>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</si>
  <si>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</si>
  <si>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</si>
  <si>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</si>
  <si>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</si>
  <si>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</si>
  <si>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</si>
  <si>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</si>
  <si>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</si>
  <si>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</si>
  <si>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</si>
  <si>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</si>
  <si>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</si>
  <si>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</si>
  <si>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</si>
  <si>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</si>
  <si>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</si>
  <si>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</si>
  <si>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</si>
  <si>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</si>
  <si>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</si>
  <si>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</si>
  <si>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</si>
  <si>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</si>
  <si>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</si>
  <si>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</si>
  <si>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</si>
  <si>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</si>
  <si>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</si>
  <si>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</si>
  <si>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</si>
  <si>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</si>
  <si>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</si>
  <si>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</si>
  <si>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</si>
  <si>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</si>
  <si>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</si>
  <si>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</si>
  <si>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</si>
  <si>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</si>
  <si>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</si>
  <si>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</si>
  <si>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</si>
  <si>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</si>
  <si>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</si>
  <si>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</si>
  <si>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</si>
  <si>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</si>
  <si>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</si>
  <si>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</si>
  <si>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</si>
  <si>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</si>
  <si>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</si>
  <si>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</si>
  <si>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</si>
  <si>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</si>
  <si>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</si>
  <si>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</si>
  <si>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</si>
  <si>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</si>
  <si>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</si>
  <si>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</si>
  <si>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</si>
  <si>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</si>
  <si>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</si>
  <si>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</si>
  <si>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</si>
  <si>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</si>
  <si>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</si>
  <si>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</si>
  <si>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</si>
  <si>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</si>
  <si>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</si>
  <si>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</si>
  <si>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</si>
  <si>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</si>
  <si>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</si>
  <si>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</si>
  <si>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</si>
  <si>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</si>
  <si>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</si>
  <si>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</si>
  <si>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</si>
  <si>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</si>
  <si>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</si>
  <si>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</si>
  <si>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</si>
  <si>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</si>
  <si>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</si>
  <si>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</si>
  <si>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</si>
  <si>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</si>
  <si>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</si>
  <si>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</si>
  <si>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</si>
  <si>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</si>
  <si>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</si>
  <si>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</si>
  <si>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</si>
  <si>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</si>
  <si>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</si>
  <si>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</si>
  <si>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</si>
  <si>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</si>
  <si>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</si>
  <si>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</si>
  <si>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</si>
  <si>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</si>
  <si>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</si>
  <si>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</si>
  <si>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</si>
  <si>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</si>
  <si>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</si>
  <si>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</si>
  <si>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</si>
  <si>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</si>
  <si>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</si>
  <si>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</si>
  <si>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</si>
  <si>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</si>
  <si>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</si>
  <si>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</si>
  <si>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</si>
  <si>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</si>
  <si>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</si>
  <si>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</si>
  <si>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</si>
  <si>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</si>
  <si>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</si>
  <si>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</si>
  <si>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</si>
  <si>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</si>
  <si>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</si>
  <si>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</si>
  <si>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</si>
  <si>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</si>
  <si>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</si>
  <si>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</si>
  <si>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</si>
  <si>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</si>
  <si>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</si>
  <si>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</si>
  <si>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</si>
  <si>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</si>
  <si>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</si>
  <si>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</si>
  <si>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</si>
  <si>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</si>
  <si>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</si>
  <si>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</si>
  <si>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</si>
  <si>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</si>
  <si>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</si>
  <si>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</si>
  <si>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</si>
  <si>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</si>
  <si>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</si>
  <si>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</si>
  <si>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</si>
  <si>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</si>
  <si>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</si>
  <si>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</si>
  <si>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</si>
  <si>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</si>
  <si>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</si>
  <si>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</si>
  <si>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</si>
  <si>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</si>
  <si>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</si>
  <si>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</si>
  <si>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</si>
  <si>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</si>
  <si>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</si>
  <si>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</si>
  <si>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</si>
  <si>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</si>
  <si>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</si>
  <si>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</si>
  <si>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</si>
  <si>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</si>
  <si>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</si>
  <si>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</si>
  <si>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</si>
  <si>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</si>
  <si>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</si>
  <si>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</si>
  <si>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</si>
  <si>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</si>
  <si>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</si>
  <si>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</si>
  <si>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</si>
  <si>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</si>
  <si>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</si>
  <si>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</si>
  <si>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</si>
  <si>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</si>
  <si>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</si>
  <si>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</si>
  <si>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</si>
  <si>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</si>
  <si>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</si>
  <si>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</si>
  <si>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</si>
  <si>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</si>
  <si>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</si>
  <si>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</si>
  <si>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</si>
  <si>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</si>
  <si>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</si>
  <si>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</si>
  <si>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</si>
  <si>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</si>
  <si>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</si>
  <si>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</si>
  <si>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</si>
  <si>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</si>
  <si>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</si>
  <si>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</si>
  <si>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</si>
  <si>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</si>
  <si>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</si>
  <si>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</si>
  <si>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</si>
  <si>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</si>
  <si>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</si>
  <si>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</si>
  <si>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</si>
  <si>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</si>
  <si>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</si>
  <si>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</si>
  <si>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</si>
  <si>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</si>
  <si>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</si>
  <si>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</si>
  <si>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</si>
  <si>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</si>
  <si>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</si>
  <si>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</si>
  <si>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</si>
  <si>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</si>
  <si>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</si>
  <si>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</si>
  <si>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</si>
  <si>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</si>
  <si>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</si>
  <si>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</si>
  <si>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</si>
  <si>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</si>
  <si>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</si>
  <si>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</si>
  <si>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</si>
  <si>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</si>
  <si>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</si>
  <si>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</si>
  <si>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</si>
  <si>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</si>
  <si>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</si>
  <si>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</si>
  <si>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</si>
  <si>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</si>
  <si>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</si>
  <si>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</si>
  <si>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</si>
  <si>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</si>
  <si>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</si>
  <si>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</si>
  <si>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</si>
  <si>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</si>
  <si>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</si>
  <si>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</si>
  <si>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</si>
  <si>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</si>
  <si>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</si>
  <si>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</si>
  <si>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</si>
  <si>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</si>
  <si>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</si>
  <si>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</si>
  <si>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</si>
  <si>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</si>
  <si>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</si>
  <si>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</si>
  <si>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</si>
  <si>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</si>
  <si>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</si>
  <si>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</si>
  <si>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</si>
  <si>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</si>
  <si>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</si>
  <si>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</si>
  <si>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</si>
  <si>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</si>
  <si>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</si>
  <si>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</si>
  <si>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</si>
  <si>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</si>
  <si>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</si>
  <si>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</si>
  <si>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</si>
  <si>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</si>
  <si>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</si>
  <si>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</si>
  <si>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</si>
  <si>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</si>
  <si>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</si>
  <si>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</si>
  <si>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</si>
  <si>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</si>
  <si>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</si>
  <si>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</si>
  <si>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</si>
  <si>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</si>
  <si>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</si>
  <si>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</si>
  <si>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</si>
  <si>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</si>
  <si>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</si>
  <si>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</si>
  <si>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</si>
  <si>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</si>
  <si>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</si>
  <si>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</si>
  <si>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</si>
  <si>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</si>
  <si>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</si>
  <si>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</si>
  <si>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</si>
  <si>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</si>
  <si>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</si>
  <si>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</si>
  <si>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</si>
  <si>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</si>
  <si>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</si>
  <si>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</si>
  <si>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</si>
  <si>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</si>
  <si>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</si>
  <si>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</si>
  <si>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</si>
  <si>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</si>
  <si>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</si>
  <si>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</si>
  <si>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</si>
  <si>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</si>
  <si>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</si>
  <si>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</si>
  <si>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</si>
  <si>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</si>
  <si>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</si>
  <si>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</si>
  <si>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</si>
  <si>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</si>
  <si>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</si>
  <si>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</si>
  <si>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</si>
  <si>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</si>
  <si>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</si>
  <si>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</si>
  <si>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</si>
  <si>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</si>
  <si>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</si>
  <si>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</si>
  <si>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</si>
  <si>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</si>
  <si>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</si>
  <si>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</si>
  <si>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</si>
  <si>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</si>
  <si>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</si>
  <si>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</si>
  <si>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</si>
  <si>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</si>
  <si>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</si>
  <si>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</si>
  <si>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</si>
  <si>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</si>
  <si>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</si>
  <si>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</si>
  <si>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</si>
  <si>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</si>
  <si>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</si>
  <si>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</si>
  <si>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</si>
  <si>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</si>
  <si>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</si>
  <si>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</si>
  <si>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</si>
  <si>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</si>
  <si>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</si>
  <si>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</si>
  <si>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</si>
  <si>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</si>
  <si>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</si>
  <si>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</si>
  <si>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</si>
  <si>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</si>
  <si>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</si>
  <si>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</si>
  <si>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</si>
  <si>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</si>
  <si>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</si>
  <si>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</si>
  <si>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</si>
  <si>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</si>
  <si>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</si>
  <si>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</si>
  <si>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</si>
  <si>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</si>
  <si>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</si>
  <si>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</si>
  <si>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</si>
  <si>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</si>
  <si>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</si>
  <si>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</si>
  <si>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</si>
  <si>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</si>
  <si>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</si>
  <si>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</si>
  <si>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</si>
  <si>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</si>
  <si>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</si>
  <si>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</si>
  <si>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</si>
  <si>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</si>
  <si>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</si>
  <si>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</si>
  <si>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</si>
  <si>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</si>
  <si>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</si>
  <si>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</si>
  <si>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</si>
  <si>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</si>
  <si>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</si>
  <si>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</si>
  <si>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</si>
  <si>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</si>
  <si>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</si>
  <si>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</si>
  <si>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</si>
  <si>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</si>
  <si>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</si>
  <si>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</si>
  <si>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</si>
  <si>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</si>
  <si>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</si>
  <si>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</si>
  <si>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</si>
  <si>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</si>
  <si>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</si>
  <si>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</si>
  <si>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</si>
  <si>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</si>
  <si>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</si>
  <si>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</si>
  <si>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</si>
  <si>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</si>
  <si>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</si>
  <si>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</si>
  <si>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</si>
  <si>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</si>
  <si>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</si>
  <si>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</si>
  <si>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</si>
  <si>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</si>
  <si>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</si>
  <si>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</si>
  <si>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</si>
  <si>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</si>
  <si>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</si>
  <si>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</si>
  <si>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</si>
  <si>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</si>
  <si>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</si>
  <si>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</si>
  <si>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</si>
  <si>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</si>
  <si>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</si>
  <si>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</si>
  <si>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</si>
  <si>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</si>
  <si>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</si>
  <si>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</si>
  <si>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</si>
  <si>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</si>
  <si>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</si>
  <si>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</si>
  <si>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</si>
  <si>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</si>
  <si>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</si>
  <si>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</si>
  <si>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</si>
  <si>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</si>
  <si>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</si>
  <si>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</si>
  <si>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</si>
  <si>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</si>
  <si>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</si>
  <si>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</si>
  <si>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</si>
  <si>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</si>
  <si>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</si>
  <si>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</si>
  <si>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</si>
  <si>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</si>
  <si>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</si>
  <si>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</si>
  <si>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</si>
  <si>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</si>
  <si>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</si>
  <si>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</si>
  <si>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</si>
  <si>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</si>
  <si>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</si>
  <si>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</si>
  <si>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</si>
  <si>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</si>
  <si>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</si>
  <si>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</si>
  <si>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</si>
  <si>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</si>
  <si>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</si>
  <si>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</si>
  <si>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</si>
  <si>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</si>
  <si>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</si>
  <si>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</si>
  <si>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</si>
  <si>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</si>
  <si>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</si>
  <si>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</si>
  <si>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</si>
  <si>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</si>
  <si>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</si>
  <si>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</si>
  <si>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</si>
  <si>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</si>
  <si>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</si>
  <si>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</si>
  <si>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</si>
  <si>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</si>
  <si>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</si>
  <si>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</si>
  <si>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</si>
  <si>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</si>
  <si>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</si>
  <si>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</si>
  <si>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</si>
  <si>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</si>
  <si>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</si>
  <si>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</si>
  <si>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</si>
  <si>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</si>
  <si>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</si>
  <si>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</si>
  <si>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</si>
  <si>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</si>
  <si>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</si>
  <si>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</si>
  <si>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</si>
  <si>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</si>
  <si>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</si>
  <si>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</si>
  <si>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</si>
  <si>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</si>
  <si>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</si>
  <si>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</si>
  <si>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</si>
  <si>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</si>
  <si>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</si>
  <si>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</si>
  <si>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</si>
  <si>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</si>
  <si>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</si>
  <si>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</si>
  <si>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</si>
  <si>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</si>
  <si>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</si>
  <si>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</si>
  <si>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</si>
  <si>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</si>
  <si>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</si>
  <si>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</si>
  <si>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</si>
  <si>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</si>
  <si>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</si>
  <si>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</si>
  <si>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</si>
  <si>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</si>
  <si>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</si>
  <si>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</si>
  <si>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</si>
  <si>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</si>
  <si>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</si>
  <si>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</si>
  <si>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</si>
  <si>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</si>
  <si>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</si>
  <si>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</si>
  <si>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</si>
  <si>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</si>
  <si>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</si>
  <si>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</si>
  <si>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</si>
  <si>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</si>
  <si>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</si>
  <si>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</si>
  <si>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</si>
  <si>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</si>
  <si>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</si>
  <si>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</si>
  <si>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</si>
  <si>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</si>
  <si>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</si>
  <si>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</si>
  <si>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</si>
  <si>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</si>
  <si>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</si>
  <si>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</si>
  <si>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</si>
  <si>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</si>
  <si>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</si>
  <si>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</si>
  <si>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</si>
  <si>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</si>
  <si>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</si>
  <si>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</si>
  <si>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</si>
  <si>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</si>
  <si>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</si>
  <si>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</si>
  <si>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</si>
  <si>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</si>
  <si>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</si>
  <si>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</si>
  <si>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</si>
  <si>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</si>
  <si>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</si>
  <si>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</si>
  <si>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</si>
  <si>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</si>
  <si>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</si>
  <si>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</si>
  <si>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</si>
  <si>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</si>
  <si>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</si>
  <si>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</si>
  <si>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</si>
  <si>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</si>
  <si>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</si>
  <si>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</si>
  <si>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</si>
  <si>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</si>
  <si>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</si>
  <si>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</si>
  <si>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</si>
  <si>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</si>
  <si>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</si>
  <si>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</si>
  <si>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</si>
  <si>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</si>
  <si>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</si>
  <si>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</si>
  <si>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</si>
  <si>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</si>
  <si>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</si>
  <si>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</si>
  <si>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</si>
  <si>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</si>
  <si>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</si>
  <si>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</si>
  <si>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</si>
  <si>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</si>
  <si>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</si>
  <si>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</si>
  <si>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</si>
  <si>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</si>
  <si>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</si>
  <si>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</si>
  <si>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</si>
  <si>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</si>
  <si>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</si>
  <si>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</si>
  <si>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</si>
  <si>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</si>
  <si>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</si>
  <si>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</si>
  <si>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</si>
  <si>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</si>
  <si>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</si>
  <si>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</si>
  <si>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</si>
  <si>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</si>
  <si>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</si>
  <si>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</si>
  <si>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</si>
  <si>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</si>
  <si>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</si>
  <si>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</si>
  <si>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</si>
  <si>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</si>
  <si>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</si>
  <si>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</si>
  <si>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</si>
  <si>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</si>
  <si>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</si>
  <si>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</si>
  <si>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</si>
  <si>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</si>
  <si>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</si>
  <si>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</si>
  <si>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</si>
  <si>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</si>
  <si>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</si>
  <si>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</si>
  <si>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</si>
  <si>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</si>
  <si>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</si>
  <si>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</si>
  <si>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</si>
  <si>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</si>
  <si>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</si>
  <si>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</si>
  <si>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</si>
  <si>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</si>
  <si>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</si>
  <si>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</si>
  <si>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</si>
  <si>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</si>
  <si>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</si>
  <si>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</si>
  <si>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</si>
  <si>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</si>
  <si>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</si>
  <si>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</si>
  <si>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</si>
  <si>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</si>
  <si>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</si>
  <si>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</si>
  <si>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</si>
  <si>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</si>
  <si>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</si>
  <si>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</si>
  <si>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</si>
  <si>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</si>
  <si>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</si>
  <si>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</si>
  <si>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</si>
  <si>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</si>
  <si>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</si>
  <si>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</si>
  <si>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</si>
  <si>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</si>
  <si>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</si>
  <si>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</si>
  <si>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</si>
  <si>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</si>
  <si>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</si>
  <si>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</si>
  <si>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</si>
  <si>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</si>
  <si>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</si>
  <si>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</si>
  <si>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</si>
  <si>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</si>
  <si>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</si>
  <si>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</si>
  <si>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</si>
  <si>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</si>
  <si>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</si>
  <si>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</si>
  <si>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</si>
  <si>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</si>
  <si>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</si>
  <si>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</si>
  <si>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</si>
  <si>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</si>
  <si>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</si>
  <si>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</si>
  <si>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</si>
  <si>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</si>
  <si>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</si>
  <si>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</si>
  <si>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</si>
  <si>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</si>
  <si>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</si>
  <si>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</si>
  <si>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</si>
  <si>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</si>
  <si>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</si>
  <si>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</si>
  <si>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</si>
  <si>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</si>
  <si>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</si>
  <si>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</si>
  <si>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</si>
  <si>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</si>
  <si>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</si>
  <si>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</si>
  <si>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</si>
  <si>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</si>
  <si>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</si>
  <si>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</si>
  <si>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</si>
  <si>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</si>
  <si>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</si>
  <si>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</si>
  <si>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</si>
  <si>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</si>
  <si>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</si>
  <si>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</si>
  <si>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</si>
  <si>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</si>
  <si>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</si>
  <si>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</si>
  <si>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</si>
  <si>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</si>
  <si>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</si>
  <si>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</si>
  <si>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</si>
  <si>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</si>
  <si>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</si>
  <si>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</si>
  <si>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</si>
  <si>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</si>
  <si>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</si>
  <si>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</si>
  <si>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</si>
  <si>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</si>
  <si>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</si>
  <si>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</si>
  <si>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</si>
  <si>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</si>
  <si>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</si>
  <si>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</si>
  <si>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</si>
  <si>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</si>
  <si>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</si>
  <si>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</si>
  <si>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</si>
  <si>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</si>
  <si>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</si>
  <si>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</si>
  <si>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</si>
  <si>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</si>
  <si>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</si>
  <si>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</si>
  <si>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</si>
  <si>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</si>
  <si>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</si>
  <si>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</si>
  <si>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</si>
  <si>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</si>
  <si>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</si>
  <si>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</si>
  <si>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</si>
  <si>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</si>
  <si>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</si>
  <si>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</si>
  <si>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</si>
  <si>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</si>
  <si>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</si>
  <si>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</si>
  <si>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</si>
  <si>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</si>
  <si>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</si>
  <si>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</si>
  <si>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</si>
  <si>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</si>
  <si>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</si>
  <si>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</si>
  <si>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</si>
  <si>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</si>
  <si>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</si>
  <si>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</si>
  <si>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</si>
  <si>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</si>
  <si>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</si>
  <si>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</si>
  <si>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</si>
  <si>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</si>
  <si>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</si>
  <si>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</si>
  <si>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</si>
  <si>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</si>
  <si>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</si>
  <si>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</si>
  <si>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</si>
  <si>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</si>
  <si>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</si>
  <si>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</si>
  <si>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</si>
  <si>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</si>
  <si>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</si>
  <si>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</si>
  <si>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</si>
  <si>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</si>
  <si>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</si>
  <si>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</si>
  <si>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</si>
  <si>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</si>
  <si>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</si>
  <si>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</si>
  <si>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</si>
  <si>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</si>
  <si>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</si>
  <si>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</si>
  <si>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</si>
  <si>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</si>
  <si>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</si>
  <si>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</si>
  <si>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</si>
  <si>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</si>
  <si>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</si>
  <si>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</si>
  <si>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</si>
  <si>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</si>
  <si>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</si>
  <si>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</si>
  <si>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</si>
  <si>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</si>
  <si>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</si>
  <si>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</si>
  <si>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</si>
  <si>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</si>
  <si>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</si>
  <si>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</si>
  <si>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</si>
  <si>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</si>
  <si>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</si>
  <si>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</si>
  <si>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</si>
  <si>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</si>
  <si>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</si>
  <si>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</si>
  <si>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</si>
  <si>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</si>
  <si>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</si>
  <si>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</si>
  <si>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</si>
  <si>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</si>
  <si>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</si>
  <si>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</si>
  <si>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</si>
  <si>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</si>
  <si>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</si>
  <si>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</si>
  <si>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</si>
  <si>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</si>
  <si>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</si>
  <si>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</si>
  <si>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</si>
  <si>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</si>
  <si>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</si>
  <si>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</si>
  <si>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</si>
  <si>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</si>
  <si>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</si>
  <si>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</si>
  <si>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</si>
  <si>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</si>
  <si>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</si>
  <si>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</si>
  <si>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</si>
  <si>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</si>
  <si>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</si>
  <si>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</si>
  <si>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</si>
  <si>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</si>
  <si>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</si>
  <si>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</si>
  <si>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</si>
  <si>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</si>
  <si>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</si>
  <si>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</si>
  <si>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</si>
  <si>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</si>
  <si>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</si>
  <si>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</si>
  <si>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</si>
  <si>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</si>
  <si>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</si>
  <si>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</si>
  <si>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</si>
  <si>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</si>
  <si>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</si>
  <si>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</si>
  <si>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</si>
  <si>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</si>
  <si>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</si>
  <si>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</si>
  <si>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</si>
  <si>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</si>
  <si>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</si>
  <si>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</si>
  <si>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</si>
  <si>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</si>
  <si>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</si>
  <si>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</si>
  <si>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</si>
  <si>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</si>
  <si>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</si>
  <si>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</si>
  <si>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</si>
  <si>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</si>
  <si>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</si>
  <si>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</si>
  <si>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</si>
  <si>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</si>
  <si>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</si>
  <si>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</si>
  <si>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</si>
  <si>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</si>
  <si>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</si>
  <si>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</si>
  <si>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</si>
  <si>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</si>
  <si>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</si>
  <si>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</si>
  <si>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</si>
  <si>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</si>
  <si>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</si>
  <si>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</si>
  <si>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</si>
  <si>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</si>
  <si>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</si>
  <si>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</si>
  <si>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</si>
  <si>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</si>
  <si>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</si>
  <si>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</si>
  <si>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</si>
  <si>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</si>
  <si>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</si>
  <si>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</si>
  <si>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</si>
  <si>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</si>
  <si>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</si>
  <si>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</si>
  <si>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</si>
  <si>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</si>
  <si>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</si>
  <si>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</si>
  <si>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</si>
  <si>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</si>
  <si>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</si>
  <si>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</si>
  <si>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</si>
  <si>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</si>
  <si>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</si>
  <si>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</si>
  <si>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</si>
  <si>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</si>
  <si>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</si>
  <si>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</si>
  <si>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</si>
  <si>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</si>
  <si>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</si>
  <si>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</si>
  <si>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</si>
  <si>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</si>
  <si>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</si>
  <si>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</si>
  <si>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</si>
  <si>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</si>
  <si>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</si>
  <si>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</si>
  <si>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</si>
  <si>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</si>
  <si>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</si>
  <si>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</si>
  <si>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</si>
  <si>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</si>
  <si>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</si>
  <si>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</si>
  <si>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</si>
  <si>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</si>
  <si>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</si>
  <si>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</si>
  <si>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</si>
  <si>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</si>
  <si>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</si>
  <si>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</si>
  <si>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</si>
  <si>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</si>
  <si>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</si>
  <si>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</si>
  <si>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</si>
  <si>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</si>
  <si>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</si>
  <si>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</si>
  <si>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</si>
  <si>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</si>
  <si>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</si>
  <si>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</si>
  <si>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</si>
  <si>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</si>
  <si>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</si>
  <si>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</si>
  <si>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</si>
  <si>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</si>
  <si>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</si>
  <si>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</si>
  <si>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</si>
  <si>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</si>
  <si>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</si>
  <si>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</si>
  <si>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</si>
  <si>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</si>
  <si>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</si>
  <si>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</si>
  <si>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</si>
  <si>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</si>
  <si>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</si>
  <si>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</si>
  <si>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</si>
  <si>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</si>
  <si>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</si>
  <si>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</si>
  <si>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</si>
  <si>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</si>
  <si>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</si>
  <si>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</si>
  <si>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</si>
  <si>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</si>
  <si>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</si>
  <si>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</si>
  <si>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</si>
  <si>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</si>
  <si>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</si>
  <si>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</si>
  <si>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</si>
  <si>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</si>
  <si>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</si>
  <si>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</si>
  <si>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</si>
  <si>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</si>
  <si>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</si>
  <si>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</si>
  <si>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</si>
  <si>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</si>
  <si>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</si>
  <si>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</si>
  <si>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</si>
  <si>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</si>
  <si>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</si>
  <si>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</si>
  <si>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</si>
  <si>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</si>
  <si>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</si>
  <si>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</si>
  <si>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</si>
  <si>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</si>
  <si>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</si>
  <si>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</si>
  <si>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</si>
  <si>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</si>
  <si>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</si>
  <si>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</si>
  <si>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</si>
  <si>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</si>
  <si>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</si>
  <si>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</si>
  <si>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</si>
  <si>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</si>
  <si>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</si>
  <si>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</si>
  <si>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</si>
  <si>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</si>
  <si>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</si>
  <si>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</si>
  <si>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</si>
  <si>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</si>
  <si>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</si>
  <si>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</si>
  <si>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</si>
  <si>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</si>
  <si>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</si>
  <si>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</si>
  <si>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</si>
  <si>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</si>
  <si>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</si>
  <si>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</si>
  <si>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</si>
  <si>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</si>
  <si>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</si>
  <si>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</si>
  <si>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</si>
  <si>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</si>
  <si>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</si>
  <si>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</si>
  <si>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</si>
  <si>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</si>
  <si>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</si>
  <si>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</si>
  <si>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</si>
  <si>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</si>
  <si>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</si>
  <si>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</si>
  <si>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</si>
  <si>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</si>
  <si>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</si>
  <si>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</si>
  <si>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</si>
  <si>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</si>
  <si>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</si>
  <si>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</si>
  <si>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</si>
  <si>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</si>
  <si>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</si>
  <si>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</si>
  <si>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</si>
  <si>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</si>
  <si>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</si>
  <si>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</si>
  <si>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</si>
  <si>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</si>
  <si>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</si>
  <si>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</si>
  <si>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</si>
  <si>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</si>
  <si>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</si>
  <si>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</si>
  <si>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</si>
  <si>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</si>
  <si>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</si>
  <si>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</si>
  <si>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</si>
  <si>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</si>
  <si>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</si>
  <si>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</si>
  <si>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</si>
  <si>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</si>
  <si>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</si>
  <si>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</si>
  <si>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</si>
  <si>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</si>
  <si>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</si>
  <si>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</si>
  <si>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</si>
  <si>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</si>
  <si>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</si>
  <si>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</si>
  <si>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</si>
  <si>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</si>
  <si>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</si>
  <si>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</si>
  <si>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</si>
  <si>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</si>
  <si>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</si>
  <si>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</si>
  <si>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</si>
  <si>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</si>
  <si>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</si>
  <si>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</si>
  <si>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</si>
  <si>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</si>
  <si>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</si>
  <si>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</si>
  <si>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</si>
  <si>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</si>
  <si>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</si>
  <si>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</si>
  <si>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</si>
  <si>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</si>
  <si>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</si>
  <si>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</si>
  <si>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</si>
  <si>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</si>
  <si>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</si>
  <si>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</si>
  <si>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</si>
  <si>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</si>
  <si>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</si>
  <si>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</si>
  <si>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</si>
  <si>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</si>
  <si>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</si>
  <si>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</si>
  <si>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</si>
  <si>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</si>
  <si>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</si>
  <si>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</si>
  <si>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</si>
  <si>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</si>
  <si>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</si>
  <si>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</si>
  <si>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</si>
  <si>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</si>
  <si>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</si>
  <si>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</si>
  <si>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</si>
  <si>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</si>
  <si>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</si>
  <si>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</si>
  <si>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</si>
  <si>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</si>
  <si>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</si>
  <si>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</si>
  <si>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</si>
  <si>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</si>
  <si>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</si>
  <si>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</si>
  <si>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</si>
  <si>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</si>
  <si>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</si>
  <si>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</si>
  <si>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</si>
  <si>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</si>
  <si>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</si>
  <si>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</si>
  <si>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</si>
  <si>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</si>
  <si>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</si>
  <si>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</si>
  <si>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</si>
  <si>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</si>
  <si>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</si>
  <si>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</si>
  <si>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</si>
  <si>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</si>
  <si>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</si>
  <si>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</si>
  <si>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</si>
  <si>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</si>
  <si>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</si>
  <si>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</si>
  <si>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</si>
  <si>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</si>
  <si>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</si>
  <si>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</si>
  <si>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</si>
  <si>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</si>
  <si>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</si>
  <si>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</si>
  <si>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</si>
  <si>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</si>
  <si>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</si>
  <si>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</si>
  <si>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</si>
  <si>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</si>
  <si>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</si>
  <si>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</si>
  <si>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</si>
  <si>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</si>
  <si>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</si>
  <si>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</si>
  <si>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</si>
  <si>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</si>
  <si>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</si>
  <si>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</si>
  <si>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</si>
  <si>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</si>
  <si>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</si>
  <si>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</si>
  <si>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</si>
  <si>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</si>
  <si>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</si>
  <si>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</si>
  <si>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</si>
  <si>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</si>
  <si>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</si>
  <si>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</si>
  <si>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</si>
  <si>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</si>
  <si>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</si>
  <si>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</si>
  <si>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</si>
  <si>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</si>
  <si>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</si>
  <si>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</si>
  <si>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</si>
  <si>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</si>
  <si>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</si>
  <si>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</si>
  <si>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</si>
  <si>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</si>
  <si>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</si>
  <si>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</si>
  <si>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</si>
  <si>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</si>
  <si>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</si>
  <si>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</si>
  <si>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</si>
  <si>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</si>
  <si>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</si>
  <si>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</si>
  <si>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</si>
  <si>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</si>
  <si>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</si>
  <si>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</si>
  <si>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</si>
  <si>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</si>
  <si>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</si>
  <si>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</si>
  <si>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</si>
  <si>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</si>
  <si>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</si>
  <si>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</si>
  <si>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</si>
  <si>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</si>
  <si>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</si>
  <si>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</si>
  <si>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</si>
  <si>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</si>
  <si>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</si>
  <si>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</si>
  <si>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</si>
  <si>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</si>
  <si>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</si>
  <si>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</si>
  <si>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</si>
  <si>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</si>
  <si>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</si>
  <si>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</si>
  <si>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</si>
  <si>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</si>
  <si>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</si>
  <si>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</si>
  <si>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</si>
  <si>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</si>
  <si>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</si>
  <si>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</si>
  <si>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</si>
  <si>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</si>
  <si>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</si>
  <si>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</si>
  <si>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</si>
  <si>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</si>
  <si>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</si>
  <si>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</si>
  <si>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</si>
  <si>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</si>
  <si>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</si>
  <si>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</si>
  <si>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</si>
  <si>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</si>
  <si>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</si>
  <si>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</si>
  <si>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</si>
  <si>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</si>
  <si>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</si>
  <si>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</si>
  <si>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</si>
  <si>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</si>
  <si>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</si>
  <si>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</si>
  <si>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</si>
  <si>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</si>
  <si>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</si>
  <si>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</si>
  <si>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</si>
  <si>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</si>
  <si>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</si>
  <si>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</si>
  <si>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</si>
  <si>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</si>
  <si>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</si>
  <si>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</si>
  <si>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</si>
  <si>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</si>
  <si>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</si>
  <si>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</si>
  <si>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</si>
  <si>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</si>
  <si>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</si>
  <si>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</si>
  <si>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</si>
  <si>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</si>
  <si>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</si>
  <si>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</si>
  <si>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</si>
  <si>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</si>
  <si>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</si>
  <si>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</si>
  <si>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</si>
  <si>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</si>
  <si>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</si>
  <si>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</si>
  <si>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</si>
  <si>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</si>
  <si>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</si>
  <si>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</si>
  <si>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</si>
  <si>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</si>
  <si>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</si>
  <si>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</si>
  <si>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</si>
  <si>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</si>
  <si>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</si>
  <si>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</si>
  <si>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</si>
  <si>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</si>
  <si>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</si>
  <si>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</si>
  <si>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</si>
  <si>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</si>
  <si>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</si>
  <si>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</si>
  <si>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</si>
  <si>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</si>
  <si>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</si>
  <si>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</si>
  <si>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</si>
  <si>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</si>
  <si>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</si>
  <si>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</si>
  <si>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</si>
  <si>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</si>
  <si>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</si>
  <si>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</si>
  <si>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</si>
  <si>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</si>
  <si>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</si>
  <si>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</si>
  <si>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</si>
  <si>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</si>
  <si>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</si>
  <si>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</si>
  <si>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</si>
  <si>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</si>
  <si>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</si>
  <si>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</si>
  <si>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</si>
  <si>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</si>
  <si>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</si>
  <si>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</si>
  <si>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</si>
  <si>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</si>
  <si>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</si>
  <si>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</si>
  <si>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</si>
  <si>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</si>
  <si>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</si>
  <si>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</si>
  <si>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</si>
  <si>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</si>
  <si>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</si>
  <si>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</si>
  <si>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</si>
  <si>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</si>
  <si>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</si>
  <si>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</si>
  <si>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</si>
  <si>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</si>
  <si>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</si>
  <si>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</si>
  <si>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</si>
  <si>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</si>
  <si>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</si>
  <si>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</si>
  <si>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</si>
  <si>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</si>
  <si>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</si>
  <si>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</si>
  <si>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</si>
  <si>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</si>
  <si>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</si>
  <si>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</si>
  <si>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</si>
  <si>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</si>
  <si>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</si>
  <si>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</si>
  <si>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</si>
  <si>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</si>
  <si>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</si>
  <si>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</si>
  <si>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</si>
  <si>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</si>
  <si>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</si>
  <si>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</si>
  <si>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</si>
  <si>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</si>
  <si>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</si>
  <si>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</si>
  <si>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</si>
  <si>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</si>
  <si>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</si>
  <si>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</si>
  <si>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</si>
  <si>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</si>
  <si>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</si>
  <si>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</si>
  <si>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</si>
  <si>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</si>
  <si>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</si>
  <si>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</si>
  <si>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</si>
  <si>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</si>
  <si>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</si>
  <si>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</si>
  <si>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</si>
  <si>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</si>
  <si>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</si>
  <si>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</si>
  <si>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</si>
  <si>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</si>
  <si>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</si>
  <si>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</si>
  <si>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</si>
  <si>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</si>
  <si>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</si>
  <si>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</si>
  <si>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</si>
  <si>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</si>
  <si>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</si>
  <si>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</si>
  <si>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</si>
  <si>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</si>
  <si>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</si>
  <si>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</si>
  <si>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</si>
  <si>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</si>
  <si>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</si>
  <si>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</si>
  <si>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</si>
  <si>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</si>
  <si>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</si>
  <si>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</si>
  <si>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</si>
  <si>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</si>
  <si>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</si>
  <si>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</si>
  <si>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</si>
  <si>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</si>
  <si>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</si>
  <si>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</si>
  <si>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</si>
  <si>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</si>
  <si>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</si>
  <si>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</si>
  <si>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</si>
  <si>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</si>
  <si>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</si>
  <si>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</si>
  <si>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</si>
  <si>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</si>
  <si>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</si>
  <si>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</si>
  <si>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</si>
  <si>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</si>
  <si>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</si>
  <si>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</si>
  <si>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</si>
  <si>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</si>
  <si>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</si>
  <si>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</si>
  <si>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</si>
  <si>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</si>
  <si>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</si>
  <si>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</si>
  <si>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</si>
  <si>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</si>
  <si>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</si>
  <si>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</si>
  <si>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</si>
  <si>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</si>
  <si>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</si>
  <si>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</si>
  <si>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</si>
  <si>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</si>
  <si>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</si>
  <si>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</si>
  <si>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</si>
  <si>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</si>
  <si>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</si>
  <si>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</si>
  <si>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</si>
  <si>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</si>
  <si>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</si>
  <si>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</si>
  <si>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</si>
  <si>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</si>
  <si>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</si>
  <si>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</si>
  <si>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</si>
  <si>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</si>
  <si>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</si>
  <si>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</si>
  <si>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</si>
  <si>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</si>
  <si>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</si>
  <si>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</si>
  <si>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</si>
  <si>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</si>
  <si>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</si>
  <si>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</si>
  <si>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</si>
  <si>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</si>
  <si>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</si>
  <si>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</si>
  <si>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</si>
  <si>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</si>
  <si>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</si>
  <si>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</si>
  <si>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</si>
  <si>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</si>
  <si>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</si>
  <si>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</si>
  <si>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</si>
  <si>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</si>
  <si>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</si>
  <si>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</si>
  <si>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</si>
  <si>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</si>
  <si>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</si>
  <si>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</si>
  <si>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</si>
  <si>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</si>
  <si>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</si>
  <si>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</si>
  <si>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</si>
  <si>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</si>
  <si>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</si>
  <si>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</si>
  <si>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</si>
  <si>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</si>
  <si>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</si>
  <si>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</si>
  <si>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</si>
  <si>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</si>
  <si>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</si>
  <si>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</si>
  <si>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</si>
  <si>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</si>
  <si>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</si>
  <si>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</si>
  <si>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</si>
  <si>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</si>
  <si>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</si>
  <si>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</si>
  <si>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</si>
  <si>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</si>
  <si>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</si>
  <si>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</si>
  <si>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</si>
  <si>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</si>
  <si>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</si>
  <si>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</si>
  <si>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</si>
  <si>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</si>
  <si>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</si>
  <si>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</si>
  <si>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</si>
  <si>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</si>
  <si>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</si>
  <si>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</si>
  <si>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</si>
  <si>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</si>
  <si>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</si>
  <si>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</si>
  <si>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</si>
  <si>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</si>
  <si>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</si>
  <si>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</si>
  <si>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</si>
  <si>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</si>
  <si>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</si>
  <si>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</si>
  <si>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</si>
  <si>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</si>
  <si>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</si>
  <si>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</si>
  <si>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</si>
  <si>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</si>
  <si>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</si>
  <si>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</si>
  <si>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</si>
  <si>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</si>
  <si>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</si>
  <si>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</si>
  <si>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</si>
  <si>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</si>
  <si>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</si>
  <si>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</si>
  <si>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</si>
  <si>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</si>
  <si>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</si>
  <si>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</si>
  <si>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</si>
  <si>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</si>
  <si>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</si>
  <si>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</si>
  <si>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</si>
  <si>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</si>
  <si>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</si>
  <si>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</si>
  <si>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</si>
  <si>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</si>
  <si>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</si>
  <si>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</si>
  <si>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Esteron</t>
  </si>
  <si>
    <t xml:space="preserve">Gilette-La Clave</t>
  </si>
  <si>
    <t xml:space="preserve">06212600</t>
  </si>
  <si>
    <t xml:space="preserve">7178b-RCS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</si>
  <si>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</si>
  <si>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</si>
  <si>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</si>
  <si>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</si>
  <si>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</si>
  <si>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</si>
  <si>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</si>
  <si>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</si>
  <si>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</si>
  <si>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</si>
  <si>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</si>
  <si>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</si>
  <si>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</si>
  <si>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</si>
  <si>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</si>
  <si>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</si>
  <si>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</si>
  <si>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</si>
  <si>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</si>
  <si>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</si>
  <si>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</si>
  <si>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</si>
  <si>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</si>
  <si>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</si>
  <si>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</si>
  <si>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</si>
  <si>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</si>
  <si>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</si>
  <si>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</si>
  <si>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</si>
  <si>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</si>
  <si>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</si>
  <si>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</si>
  <si>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</si>
  <si>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</si>
  <si>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</si>
  <si>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</si>
  <si>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</si>
  <si>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</si>
  <si>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</si>
  <si>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</si>
  <si>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</si>
  <si>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</si>
  <si>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</si>
  <si>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</si>
  <si>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</si>
  <si>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</si>
  <si>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</si>
  <si>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</si>
  <si>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(1,213 %)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</si>
  <si>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</si>
  <si>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</si>
  <si>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</si>
  <si>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</si>
  <si>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</si>
  <si>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</si>
  <si>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</si>
  <si>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</si>
  <si>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</si>
  <si>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</si>
  <si>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</si>
  <si>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</si>
  <si>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</si>
  <si>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</si>
  <si>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</si>
  <si>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</si>
  <si>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</si>
  <si>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</si>
  <si>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</si>
  <si>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</si>
  <si>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Equisetum ramosissimum</t>
  </si>
  <si>
    <t xml:space="preserve">newcod</t>
  </si>
  <si>
    <t xml:space="preserve">Tussilago farfara</t>
  </si>
  <si>
    <t xml:space="preserve">Molinia caerulea ssp arundinacea</t>
  </si>
  <si>
    <t xml:space="preserve">Didymodon tophaceus</t>
  </si>
  <si>
    <t xml:space="preserve">Pohlia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</si>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</sst>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11.0416666666667</v>
      </c>
      <c r="M5" s="323"/>
      <c r="N5" s="324" t="s">
        <v>258</v>
      </c>
      <c r="O5" s="325" t="n">
        <v>11.1363636363636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82</v>
      </c>
      <c r="C7" s="337" t="n">
        <v>18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6.68181818181818</v>
      </c>
      <c r="O8" s="354" t="n">
        <f aca="false">IF(ISERROR(AVERAGE(J23:J82)),"      -",AVERAGE(J23:J82))</f>
        <v>1</v>
      </c>
      <c r="P8" s="355"/>
      <c r="Q8" s="280"/>
      <c r="R8" s="280"/>
      <c r="S8" s="280"/>
      <c r="T8" s="280"/>
      <c r="U8" s="280"/>
      <c r="V8" s="280"/>
      <c r="W8" s="292"/>
      <c r="X8" s="293"/>
    </row>
    <row r="9" customFormat="false" ht="13.5" hidden="false" customHeight="false" outlineLevel="0" collapsed="false">
      <c r="A9" s="313" t="s">
        <v>2635</v>
      </c>
      <c r="B9" s="356" t="n">
        <v>1.4</v>
      </c>
      <c r="C9" s="357" t="n">
        <v>0.27</v>
      </c>
      <c r="D9" s="358"/>
      <c r="E9" s="358"/>
      <c r="F9" s="359" t="n">
        <f aca="false">($B9*$B$7+$C9*$C$7)/100</f>
        <v>1.1966</v>
      </c>
      <c r="G9" s="360"/>
      <c r="H9" s="361"/>
      <c r="I9" s="362"/>
      <c r="J9" s="363"/>
      <c r="K9" s="343"/>
      <c r="L9" s="364"/>
      <c r="M9" s="353" t="s">
        <v>2636</v>
      </c>
      <c r="N9" s="354" t="n">
        <f aca="false">IF(ISERROR(STDEVP(I23:I82)),"     -",STDEVP(I23:I82))</f>
        <v>5.83396297270922</v>
      </c>
      <c r="O9" s="354" t="n">
        <f aca="false">IF(ISERROR(STDEVP(J23:J82)),"      -",STDEVP(J23:J82))</f>
        <v>0.904534033733291</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27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6</v>
      </c>
      <c r="L15" s="386"/>
      <c r="M15" s="407" t="s">
        <v>2654</v>
      </c>
      <c r="N15" s="408" t="n">
        <f aca="false">COUNTIF(J23:J82,"=1")</f>
        <v>7</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6</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1.42</v>
      </c>
      <c r="C20" s="436" t="n">
        <f aca="false">SUM(C23:C82)</f>
        <v>0.27</v>
      </c>
      <c r="D20" s="437"/>
      <c r="E20" s="438" t="s">
        <v>2660</v>
      </c>
      <c r="F20" s="439" t="n">
        <f aca="false">($B20*$B$7+$C20*$C$7)/100</f>
        <v>1.213</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1.1644</v>
      </c>
      <c r="C21" s="449" t="n">
        <f aca="false">C20*C7/100</f>
        <v>0.0486</v>
      </c>
      <c r="D21" s="381" t="str">
        <f aca="false">IF(F21=0,"",IF((ABS(F21-F19))&gt;(0.2*F21),CONCATENATE(" rec. par taxa (",F21," %) supérieur à 20 % !"),""))</f>
        <v> rec. par taxa (1,213 %) supérieur à 20 % !</v>
      </c>
      <c r="E21" s="450" t="str">
        <f aca="false">IF(F21=0,"",IF((ABS(F21-F19))&gt;(0.2*F21),CONCATENATE("ATTENTION : écart entre rec. par grp (",F19," %) ","et",""),""))</f>
        <v>ATTENTION : écart entre rec. par grp (0 %) et</v>
      </c>
      <c r="F21" s="451" t="n">
        <f aca="false">B21+C21</f>
        <v>1.213</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63</v>
      </c>
      <c r="B23" s="475" t="n">
        <v>0.005</v>
      </c>
      <c r="C23" s="476"/>
      <c r="D23" s="477" t="str">
        <f aca="false">IF(ISERROR(VLOOKUP($A23,'liste reference'!$A$7:$D$904,2,0)),IF(ISERROR(VLOOKUP($A23,'liste reference'!$B$7:$D$904,1,0)),"",VLOOKUP($A23,'liste reference'!$B$7:$D$904,1,0)),VLOOKUP($A23,'liste reference'!$A$7:$D$904,2,0))</f>
        <v>Bangia sp.</v>
      </c>
      <c r="E23" s="477" t="e">
        <f aca="false">IF(D23="",0,VLOOKUP(D23,D$15:D22,1,0))</f>
        <v>#N/A</v>
      </c>
      <c r="F23" s="478" t="n">
        <f aca="false">($B23*$B$7+$C23*$C$7)/100</f>
        <v>0.0041</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0.0041</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113</v>
      </c>
      <c r="B24" s="494" t="n">
        <v>0.005</v>
      </c>
      <c r="C24" s="495" t="n">
        <v>0.005</v>
      </c>
      <c r="D24" s="477" t="str">
        <f aca="false">IF(ISERROR(VLOOKUP($A24,'liste reference'!$A$7:$D$904,2,0)),IF(ISERROR(VLOOKUP($A24,'liste reference'!$B$7:$D$904,1,0)),"",VLOOKUP($A24,'liste reference'!$B$7:$D$904,1,0)),VLOOKUP($A24,'liste reference'!$A$7:$D$904,2,0))</f>
        <v>Chara vulgaris</v>
      </c>
      <c r="E24" s="496" t="e">
        <f aca="false">IF(D24="",0,VLOOKUP(D24,D$22:D23,1,0))</f>
        <v>#N/A</v>
      </c>
      <c r="F24" s="497" t="n">
        <f aca="false">($B24*$B$7+$C24*$C$7)/100</f>
        <v>0.005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Chara vulgaris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5261</v>
      </c>
      <c r="Q24" s="486" t="n">
        <f aca="false">IF(ISTEXT(H24),"",(B24*$B$7/100)+(C24*$C$7/100))</f>
        <v>0.005</v>
      </c>
      <c r="R24" s="487" t="n">
        <f aca="false">IF(OR(ISTEXT(H24),Q24=0),"",IF(Q24&lt;0.1,1,IF(Q24&lt;1,2,IF(Q24&lt;10,3,IF(Q24&lt;50,4,IF(Q24&gt;=50,5,""))))))</f>
        <v>1</v>
      </c>
      <c r="S24" s="487" t="n">
        <f aca="false">IF(ISERROR(R24*I24),0,R24*I24)</f>
        <v>13</v>
      </c>
      <c r="T24" s="487" t="n">
        <f aca="false">IF(ISERROR(R24*I24*J24),0,R24*I24*J24)</f>
        <v>13</v>
      </c>
      <c r="U24" s="499" t="n">
        <f aca="false">IF(ISERROR(R24*J24),0,R24*J24)</f>
        <v>1</v>
      </c>
      <c r="V24" s="488" t="str">
        <f aca="false">IF(AND(A24="",F24=0),"",IF(F24=0,"Il manque le(s) % de rec. !",""))</f>
        <v/>
      </c>
      <c r="W24" s="489"/>
      <c r="Y24" s="490" t="str">
        <f aca="false">IF(A24="new.cod","NEWCOD",IF(AND((Z24=""),ISTEXT(A24)),A24,IF(Z24="","",INDEX('liste reference'!$A$8:$A$904,Z24))))</f>
        <v>CHAVUL</v>
      </c>
      <c r="Z24" s="280" t="n">
        <f aca="false">IF(ISERROR(MATCH(A24,'liste reference'!$A$8:$A$904,0)),IF(ISERROR(MATCH(A24,'liste reference'!$B$8:$B$904,0)),"",(MATCH(A24,'liste reference'!$B$8:$B$904,0))),(MATCH(A24,'liste reference'!$A$8:$A$904,0)))</f>
        <v>20</v>
      </c>
      <c r="AA24" s="491"/>
      <c r="AB24" s="492"/>
      <c r="AC24" s="492"/>
      <c r="BB24" s="280" t="n">
        <f aca="false">IF(A24="","",1)</f>
        <v>1</v>
      </c>
    </row>
    <row r="25" customFormat="false" ht="12.75" hidden="false" customHeight="false" outlineLevel="0" collapsed="false">
      <c r="A25" s="493" t="s">
        <v>122</v>
      </c>
      <c r="B25" s="494" t="n">
        <v>0.75</v>
      </c>
      <c r="C25" s="495" t="n">
        <v>0.1</v>
      </c>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0.633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0.633</v>
      </c>
      <c r="R25" s="487" t="n">
        <f aca="false">IF(OR(ISTEXT(H25),Q25=0),"",IF(Q25&lt;0.1,1,IF(Q25&lt;1,2,IF(Q25&lt;10,3,IF(Q25&lt;50,4,IF(Q25&gt;=50,5,""))))))</f>
        <v>2</v>
      </c>
      <c r="S25" s="487" t="n">
        <f aca="false">IF(ISERROR(R25*I25),0,R25*I25)</f>
        <v>12</v>
      </c>
      <c r="T25" s="487" t="n">
        <f aca="false">IF(ISERROR(R25*I25*J25),0,R25*I25*J25)</f>
        <v>12</v>
      </c>
      <c r="U25" s="499" t="n">
        <f aca="false">IF(ISERROR(R25*J25),0,R25*J25)</f>
        <v>2</v>
      </c>
      <c r="V25" s="488" t="str">
        <f aca="false">IF(AND(A25="",F25=0),"",IF(F25=0,"Il manque le(s) % de rec. !",""))</f>
        <v/>
      </c>
      <c r="W25" s="489"/>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2.75" hidden="false" customHeight="false" outlineLevel="0" collapsed="false">
      <c r="A26" s="493" t="s">
        <v>158</v>
      </c>
      <c r="B26" s="494" t="n">
        <v>0.1</v>
      </c>
      <c r="C26" s="495" t="n">
        <v>0.05</v>
      </c>
      <c r="D26" s="477" t="str">
        <f aca="false">IF(ISERROR(VLOOKUP($A26,'liste reference'!$A$7:$D$904,2,0)),IF(ISERROR(VLOOKUP($A26,'liste reference'!$B$7:$D$904,1,0)),"",VLOOKUP($A26,'liste reference'!$B$7:$D$904,1,0)),VLOOKUP($A26,'liste reference'!$A$7:$D$904,2,0))</f>
        <v>Lyngbya sp.</v>
      </c>
      <c r="E26" s="496" t="e">
        <f aca="false">IF(D26="",0,VLOOKUP(D26,D$22:D25,1,0))</f>
        <v>#N/A</v>
      </c>
      <c r="F26" s="497" t="n">
        <f aca="false">($B26*$B$7+$C26*$C$7)/100</f>
        <v>0.091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Lyngbya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1107</v>
      </c>
      <c r="Q26" s="486" t="n">
        <f aca="false">IF(ISTEXT(H26),"",(B26*$B$7/100)+(C26*$C$7/100))</f>
        <v>0.091</v>
      </c>
      <c r="R26" s="487" t="n">
        <f aca="false">IF(OR(ISTEXT(H26),Q26=0),"",IF(Q26&lt;0.1,1,IF(Q26&lt;1,2,IF(Q26&lt;10,3,IF(Q26&lt;50,4,IF(Q26&gt;=50,5,""))))))</f>
        <v>1</v>
      </c>
      <c r="S26" s="487" t="n">
        <f aca="false">IF(ISERROR(R26*I26),0,R26*I26)</f>
        <v>10</v>
      </c>
      <c r="T26" s="487" t="n">
        <f aca="false">IF(ISERROR(R26*I26*J26),0,R26*I26*J26)</f>
        <v>20</v>
      </c>
      <c r="U26" s="499" t="n">
        <f aca="false">IF(ISERROR(R26*J26),0,R26*J26)</f>
        <v>2</v>
      </c>
      <c r="V26" s="488" t="str">
        <f aca="false">IF(AND(A26="",F26=0),"",IF(F26=0,"Il manque le(s) % de rec. !",""))</f>
        <v/>
      </c>
      <c r="W26" s="489"/>
      <c r="Y26" s="490" t="str">
        <f aca="false">IF(A26="new.cod","NEWCOD",IF(AND((Z26=""),ISTEXT(A26)),A26,IF(Z26="","",INDEX('liste reference'!$A$8:$A$904,Z26))))</f>
        <v>LYNSPX</v>
      </c>
      <c r="Z26" s="280" t="n">
        <f aca="false">IF(ISERROR(MATCH(A26,'liste reference'!$A$8:$A$904,0)),IF(ISERROR(MATCH(A26,'liste reference'!$B$8:$B$904,0)),"",(MATCH(A26,'liste reference'!$B$8:$B$904,0))),(MATCH(A26,'liste reference'!$A$8:$A$904,0)))</f>
        <v>35</v>
      </c>
      <c r="AA26" s="491"/>
      <c r="AB26" s="492"/>
      <c r="AC26" s="492"/>
      <c r="BB26" s="280" t="n">
        <f aca="false">IF(A26="","",1)</f>
        <v>1</v>
      </c>
    </row>
    <row r="27" customFormat="false" ht="12.75" hidden="false" customHeight="false" outlineLevel="0" collapsed="false">
      <c r="A27" s="493" t="s">
        <v>220</v>
      </c>
      <c r="B27" s="494" t="n">
        <v>0.05</v>
      </c>
      <c r="C27" s="495"/>
      <c r="D27" s="477" t="str">
        <f aca="false">IF(ISERROR(VLOOKUP($A27,'liste reference'!$A$7:$D$904,2,0)),IF(ISERROR(VLOOKUP($A27,'liste reference'!$B$7:$D$904,1,0)),"",VLOOKUP($A27,'liste reference'!$B$7:$D$904,1,0)),VLOOKUP($A27,'liste reference'!$A$7:$D$904,2,0))</f>
        <v>Nostoc sp.</v>
      </c>
      <c r="E27" s="496" t="e">
        <f aca="false">IF(D27="",0,VLOOKUP(D27,D$22:D26,1,0))</f>
        <v>#N/A</v>
      </c>
      <c r="F27" s="497" t="n">
        <f aca="false">($B27*$B$7+$C27*$C$7)/100</f>
        <v>0.041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9</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1105</v>
      </c>
      <c r="Q27" s="486" t="n">
        <f aca="false">IF(ISTEXT(H27),"",(B27*$B$7/100)+(C27*$C$7/100))</f>
        <v>0.041</v>
      </c>
      <c r="R27" s="487" t="n">
        <f aca="false">IF(OR(ISTEXT(H27),Q27=0),"",IF(Q27&lt;0.1,1,IF(Q27&lt;1,2,IF(Q27&lt;10,3,IF(Q27&lt;50,4,IF(Q27&gt;=50,5,""))))))</f>
        <v>1</v>
      </c>
      <c r="S27" s="487" t="n">
        <f aca="false">IF(ISERROR(R27*I27),0,R27*I27)</f>
        <v>9</v>
      </c>
      <c r="T27" s="487" t="n">
        <f aca="false">IF(ISERROR(R27*I27*J27),0,R27*I27*J27)</f>
        <v>9</v>
      </c>
      <c r="U27" s="499" t="n">
        <f aca="false">IF(ISERROR(R27*J27),0,R27*J27)</f>
        <v>1</v>
      </c>
      <c r="V27" s="488" t="str">
        <f aca="false">IF(AND(A27="",F27=0),"",IF(F27=0,"Il manque le(s) % de rec. !",""))</f>
        <v/>
      </c>
      <c r="W27" s="489"/>
      <c r="Y27" s="490" t="str">
        <f aca="false">IF(A27="new.cod","NEWCOD",IF(AND((Z27=""),ISTEXT(A27)),A27,IF(Z27="","",INDEX('liste reference'!$A$8:$A$904,Z27))))</f>
        <v>NOSSPX</v>
      </c>
      <c r="Z27" s="280" t="n">
        <f aca="false">IF(ISERROR(MATCH(A27,'liste reference'!$A$8:$A$904,0)),IF(ISERROR(MATCH(A27,'liste reference'!$B$8:$B$904,0)),"",(MATCH(A27,'liste reference'!$B$8:$B$904,0))),(MATCH(A27,'liste reference'!$A$8:$A$904,0)))</f>
        <v>54</v>
      </c>
      <c r="AA27" s="491"/>
      <c r="AB27" s="492"/>
      <c r="AC27" s="492"/>
      <c r="BB27" s="280" t="n">
        <f aca="false">IF(A27="","",1)</f>
        <v>1</v>
      </c>
    </row>
    <row r="28" customFormat="false" ht="12.75" hidden="false" customHeight="false" outlineLevel="0" collapsed="false">
      <c r="A28" s="493" t="s">
        <v>223</v>
      </c>
      <c r="B28" s="494" t="n">
        <v>0.02</v>
      </c>
      <c r="C28" s="495"/>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0.0164</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0.0164</v>
      </c>
      <c r="R28" s="487" t="n">
        <f aca="false">IF(OR(ISTEXT(H28),Q28=0),"",IF(Q28&lt;0.1,1,IF(Q28&lt;1,2,IF(Q28&lt;10,3,IF(Q28&lt;50,4,IF(Q28&gt;=50,5,""))))))</f>
        <v>1</v>
      </c>
      <c r="S28" s="487" t="n">
        <f aca="false">IF(ISERROR(R28*I28),0,R28*I28)</f>
        <v>6</v>
      </c>
      <c r="T28" s="487" t="n">
        <f aca="false">IF(ISERROR(R28*I28*J28),0,R28*I28*J28)</f>
        <v>12</v>
      </c>
      <c r="U28" s="499" t="n">
        <f aca="false">IF(ISERROR(R28*J28),0,R28*J28)</f>
        <v>2</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226</v>
      </c>
      <c r="B29" s="494" t="n">
        <v>0.05</v>
      </c>
      <c r="C29" s="495"/>
      <c r="D29" s="477" t="str">
        <f aca="false">IF(ISERROR(VLOOKUP($A29,'liste reference'!$A$7:$D$904,2,0)),IF(ISERROR(VLOOKUP($A29,'liste reference'!$B$7:$D$904,1,0)),"",VLOOKUP($A29,'liste reference'!$B$7:$D$904,1,0)),VLOOKUP($A29,'liste reference'!$A$7:$D$904,2,0))</f>
        <v>Oscillatoria sp.</v>
      </c>
      <c r="E29" s="496" t="e">
        <f aca="false">IF(D29="",0,VLOOKUP(D29,D$22:D28,1,0))</f>
        <v>#N/A</v>
      </c>
      <c r="F29" s="497" t="n">
        <f aca="false">($B29*$B$7+$C29*$C$7)/100</f>
        <v>0.041</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11</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Oscillatoria sp.</v>
      </c>
      <c r="L29" s="498"/>
      <c r="M29" s="498"/>
      <c r="N29" s="498"/>
      <c r="O29" s="484" t="s">
        <v>2685</v>
      </c>
      <c r="P29" s="485" t="n">
        <f aca="false">IF($A29="NEWCOD",IF($AC29="","No",$AC29),IF(ISTEXT($E29),"DEJA SAISI !",IF($A29="","",IF(ISERROR(VLOOKUP($A29,'liste reference'!A:S,19,FALSE())),IF(ISERROR(VLOOKUP($A29,'liste reference'!B:S,19,FALSE())),"",VLOOKUP($A29,'liste reference'!B:S,19,FALSE())),VLOOKUP($A29,'liste reference'!A:S,19,FALSE())))))</f>
        <v>1108</v>
      </c>
      <c r="Q29" s="486" t="n">
        <f aca="false">IF(ISTEXT(H29),"",(B29*$B$7/100)+(C29*$C$7/100))</f>
        <v>0.041</v>
      </c>
      <c r="R29" s="487" t="n">
        <f aca="false">IF(OR(ISTEXT(H29),Q29=0),"",IF(Q29&lt;0.1,1,IF(Q29&lt;1,2,IF(Q29&lt;10,3,IF(Q29&lt;50,4,IF(Q29&gt;=50,5,""))))))</f>
        <v>1</v>
      </c>
      <c r="S29" s="487" t="n">
        <f aca="false">IF(ISERROR(R29*I29),0,R29*I29)</f>
        <v>11</v>
      </c>
      <c r="T29" s="487" t="n">
        <f aca="false">IF(ISERROR(R29*I29*J29),0,R29*I29*J29)</f>
        <v>11</v>
      </c>
      <c r="U29" s="499" t="n">
        <f aca="false">IF(ISERROR(R29*J29),0,R29*J29)</f>
        <v>1</v>
      </c>
      <c r="V29" s="488" t="str">
        <f aca="false">IF(AND(A29="",F29=0),"",IF(F29=0,"Il manque le(s) % de rec. !",""))</f>
        <v/>
      </c>
      <c r="W29" s="489"/>
      <c r="Y29" s="490" t="str">
        <f aca="false">IF(A29="new.cod","NEWCOD",IF(AND((Z29=""),ISTEXT(A29)),A29,IF(Z29="","",INDEX('liste reference'!$A$8:$A$904,Z29))))</f>
        <v>OSCSPX</v>
      </c>
      <c r="Z29" s="280" t="n">
        <f aca="false">IF(ISERROR(MATCH(A29,'liste reference'!$A$8:$A$904,0)),IF(ISERROR(MATCH(A29,'liste reference'!$B$8:$B$904,0)),"",(MATCH(A29,'liste reference'!$B$8:$B$904,0))),(MATCH(A29,'liste reference'!$A$8:$A$904,0)))</f>
        <v>56</v>
      </c>
      <c r="AA29" s="491" t="s">
        <v>2685</v>
      </c>
      <c r="AB29" s="492"/>
      <c r="AC29" s="492"/>
      <c r="BB29" s="280" t="n">
        <f aca="false">IF(A29="","",1)</f>
        <v>1</v>
      </c>
    </row>
    <row r="30" customFormat="false" ht="12.75" hidden="false" customHeight="false" outlineLevel="0" collapsed="false">
      <c r="A30" s="493" t="s">
        <v>258</v>
      </c>
      <c r="B30" s="494" t="n">
        <v>0.15</v>
      </c>
      <c r="C30" s="495" t="n">
        <v>0.05</v>
      </c>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0.132</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0.132</v>
      </c>
      <c r="R30" s="487" t="n">
        <f aca="false">IF(OR(ISTEXT(H30),Q30=0),"",IF(Q30&lt;0.1,1,IF(Q30&lt;1,2,IF(Q30&lt;10,3,IF(Q30&lt;50,4,IF(Q30&gt;=50,5,""))))))</f>
        <v>2</v>
      </c>
      <c r="S30" s="487" t="n">
        <f aca="false">IF(ISERROR(R30*I30),0,R30*I30)</f>
        <v>20</v>
      </c>
      <c r="T30" s="487" t="n">
        <f aca="false">IF(ISERROR(R30*I30*J30),0,R30*I30*J30)</f>
        <v>20</v>
      </c>
      <c r="U30" s="499" t="n">
        <f aca="false">IF(ISERROR(R30*J30),0,R30*J30)</f>
        <v>2</v>
      </c>
      <c r="V30" s="488" t="str">
        <f aca="false">IF(AND(A30="",F30=0),"",IF(F30=0,"Il manque le(s) % de rec. !",""))</f>
        <v/>
      </c>
      <c r="W30" s="489"/>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2.75" hidden="false" customHeight="false" outlineLevel="0" collapsed="false">
      <c r="A31" s="493" t="s">
        <v>293</v>
      </c>
      <c r="B31" s="494" t="n">
        <v>0.005</v>
      </c>
      <c r="C31" s="495" t="n">
        <v>0.005</v>
      </c>
      <c r="D31" s="477" t="str">
        <f aca="false">IF(ISERROR(VLOOKUP($A31,'liste reference'!$A$7:$D$904,2,0)),IF(ISERROR(VLOOKUP($A31,'liste reference'!$B$7:$D$904,1,0)),"",VLOOKUP($A31,'liste reference'!$B$7:$D$904,1,0)),VLOOKUP($A31,'liste reference'!$A$7:$D$904,2,0))</f>
        <v>Tolypothrix sp.</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Tolypothrix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6304</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TOYSPX</v>
      </c>
      <c r="Z31" s="280" t="n">
        <f aca="false">IF(ISERROR(MATCH(A31,'liste reference'!$A$8:$A$904,0)),IF(ISERROR(MATCH(A31,'liste reference'!$B$8:$B$904,0)),"",(MATCH(A31,'liste reference'!$B$8:$B$904,0))),(MATCH(A31,'liste reference'!$A$8:$A$904,0)))</f>
        <v>79</v>
      </c>
      <c r="AA31" s="491"/>
      <c r="AB31" s="492"/>
      <c r="AC31" s="492"/>
      <c r="BB31" s="280" t="n">
        <f aca="false">IF(A31="","",1)</f>
        <v>1</v>
      </c>
    </row>
    <row r="32" customFormat="false" ht="12.75" hidden="false" customHeight="false" outlineLevel="0" collapsed="false">
      <c r="A32" s="493" t="s">
        <v>301</v>
      </c>
      <c r="B32" s="494" t="n">
        <v>0.05</v>
      </c>
      <c r="C32" s="495" t="n">
        <v>0.01</v>
      </c>
      <c r="D32" s="477" t="str">
        <f aca="false">IF(ISERROR(VLOOKUP($A32,'liste reference'!$A$7:$D$904,2,0)),IF(ISERROR(VLOOKUP($A32,'liste reference'!$B$7:$D$904,1,0)),"",VLOOKUP($A32,'liste reference'!$B$7:$D$904,1,0)),VLOOKUP($A32,'liste reference'!$A$7:$D$904,2,0))</f>
        <v>Vaucheria sp.</v>
      </c>
      <c r="E32" s="496" t="e">
        <f aca="false">IF(D32="",0,VLOOKUP(D32,D$22:D31,1,0))</f>
        <v>#N/A</v>
      </c>
      <c r="F32" s="497" t="n">
        <f aca="false">($B32*$B$7+$C32*$C$7)/100</f>
        <v>0.0428</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4</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Vaucheria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6193</v>
      </c>
      <c r="Q32" s="486" t="n">
        <f aca="false">IF(ISTEXT(H32),"",(B32*$B$7/100)+(C32*$C$7/100))</f>
        <v>0.0428</v>
      </c>
      <c r="R32" s="487" t="n">
        <f aca="false">IF(OR(ISTEXT(H32),Q32=0),"",IF(Q32&lt;0.1,1,IF(Q32&lt;1,2,IF(Q32&lt;10,3,IF(Q32&lt;50,4,IF(Q32&gt;=50,5,""))))))</f>
        <v>1</v>
      </c>
      <c r="S32" s="487" t="n">
        <f aca="false">IF(ISERROR(R32*I32),0,R32*I32)</f>
        <v>4</v>
      </c>
      <c r="T32" s="487" t="n">
        <f aca="false">IF(ISERROR(R32*I32*J32),0,R32*I32*J32)</f>
        <v>4</v>
      </c>
      <c r="U32" s="499" t="n">
        <f aca="false">IF(ISERROR(R32*J32),0,R32*J32)</f>
        <v>1</v>
      </c>
      <c r="V32" s="488" t="str">
        <f aca="false">IF(AND(A32="",F32=0),"",IF(F32=0,"Il manque le(s) % de rec. !",""))</f>
        <v/>
      </c>
      <c r="W32" s="489"/>
      <c r="X32" s="489"/>
      <c r="Y32" s="490" t="str">
        <f aca="false">IF(A32="new.cod","NEWCOD",IF(AND((Z32=""),ISTEXT(A32)),A32,IF(Z32="","",INDEX('liste reference'!$A$8:$A$904,Z32))))</f>
        <v>VAUSPX</v>
      </c>
      <c r="Z32" s="280" t="n">
        <f aca="false">IF(ISERROR(MATCH(A32,'liste reference'!$A$8:$A$904,0)),IF(ISERROR(MATCH(A32,'liste reference'!$B$8:$B$904,0)),"",(MATCH(A32,'liste reference'!$B$8:$B$904,0))),(MATCH(A32,'liste reference'!$A$8:$A$904,0)))</f>
        <v>82</v>
      </c>
      <c r="AA32" s="491"/>
      <c r="AB32" s="492"/>
      <c r="AC32" s="492"/>
      <c r="BB32" s="280" t="n">
        <f aca="false">IF(A32="","",1)</f>
        <v>1</v>
      </c>
    </row>
    <row r="33" customFormat="false" ht="12.75" hidden="false" customHeight="false" outlineLevel="0" collapsed="false">
      <c r="A33" s="493" t="s">
        <v>384</v>
      </c>
      <c r="B33" s="494" t="n">
        <v>0.005</v>
      </c>
      <c r="C33" s="495" t="n">
        <v>0.005</v>
      </c>
      <c r="D33" s="477" t="str">
        <f aca="false">IF(ISERROR(VLOOKUP($A33,'liste reference'!$A$7:$D$904,2,0)),IF(ISERROR(VLOOKUP($A33,'liste reference'!$B$7:$D$904,1,0)),"",VLOOKUP($A33,'liste reference'!$B$7:$D$904,1,0)),VLOOKUP($A33,'liste reference'!$A$7:$D$904,2,0))</f>
        <v>Jungermannia atrovirens</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BRh</v>
      </c>
      <c r="H33" s="480" t="n">
        <f aca="false">IF(A33="","x",IF(ISERROR(VLOOKUP($A33,'liste reference'!$A$8:$P$904,14,0)),IF(ISERROR(VLOOKUP($A33,'liste reference'!$B$8:$P$904,13,0)),"x",VLOOKUP($A33,'liste reference'!$B$8:$P$904,13,0)),VLOOKUP($A33,'liste reference'!$A$8:$P$904,14,0)))</f>
        <v>4</v>
      </c>
      <c r="I33" s="481" t="n">
        <f aca="false">IF(ISNUMBER(H33),IF(ISERROR(VLOOKUP($A33,'liste reference'!$A$7:$P$904,3,0)),IF(ISERROR(VLOOKUP($A33,'liste reference'!$B$7:$P$904,2,0)),"",VLOOKUP($A33,'liste reference'!$B$7:$P$904,2,0)),VLOOKUP($A33,'liste reference'!$A$7:$P$904,3,0)),"")</f>
        <v>19</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Jungermannia atrovirens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19820</v>
      </c>
      <c r="Q33" s="486" t="n">
        <f aca="false">IF(ISTEXT(H33),"",(B33*$B$7/100)+(C33*$C$7/100))</f>
        <v>0.005</v>
      </c>
      <c r="R33" s="487" t="n">
        <f aca="false">IF(OR(ISTEXT(H33),Q33=0),"",IF(Q33&lt;0.1,1,IF(Q33&lt;1,2,IF(Q33&lt;10,3,IF(Q33&lt;50,4,IF(Q33&gt;=50,5,""))))))</f>
        <v>1</v>
      </c>
      <c r="S33" s="487" t="n">
        <f aca="false">IF(ISERROR(R33*I33),0,R33*I33)</f>
        <v>19</v>
      </c>
      <c r="T33" s="487" t="n">
        <f aca="false">IF(ISERROR(R33*I33*J33),0,R33*I33*J33)</f>
        <v>57</v>
      </c>
      <c r="U33" s="499" t="n">
        <f aca="false">IF(ISERROR(R33*J33),0,R33*J33)</f>
        <v>3</v>
      </c>
      <c r="V33" s="488" t="str">
        <f aca="false">IF(AND(A33="",F33=0),"",IF(F33=0,"Il manque le(s) % de rec. !",""))</f>
        <v/>
      </c>
      <c r="W33" s="489"/>
      <c r="Y33" s="490" t="str">
        <f aca="false">IF(A33="new.cod","NEWCOD",IF(AND((Z33=""),ISTEXT(A33)),A33,IF(Z33="","",INDEX('liste reference'!$A$8:$A$904,Z33))))</f>
        <v>JUGATR</v>
      </c>
      <c r="Z33" s="280" t="n">
        <f aca="false">IF(ISERROR(MATCH(A33,'liste reference'!$A$8:$A$904,0)),IF(ISERROR(MATCH(A33,'liste reference'!$B$8:$B$904,0)),"",(MATCH(A33,'liste reference'!$B$8:$B$904,0))),(MATCH(A33,'liste reference'!$A$8:$A$904,0)))</f>
        <v>101</v>
      </c>
      <c r="AA33" s="491"/>
      <c r="AB33" s="492"/>
      <c r="AC33" s="492"/>
      <c r="BB33" s="280" t="n">
        <f aca="false">IF(A33="","",1)</f>
        <v>1</v>
      </c>
    </row>
    <row r="34" customFormat="false" ht="12.75" hidden="false" customHeight="false" outlineLevel="0" collapsed="false">
      <c r="A34" s="493" t="s">
        <v>512</v>
      </c>
      <c r="B34" s="494" t="n">
        <v>0.005</v>
      </c>
      <c r="C34" s="495" t="n">
        <v>0.01</v>
      </c>
      <c r="D34" s="477" t="str">
        <f aca="false">IF(ISERROR(VLOOKUP($A34,'liste reference'!$A$7:$D$904,2,0)),IF(ISERROR(VLOOKUP($A34,'liste reference'!$B$7:$D$904,1,0)),"",VLOOKUP($A34,'liste reference'!$B$7:$D$904,1,0)),VLOOKUP($A34,'liste reference'!$A$7:$D$904,2,0))</f>
        <v>Pellia endiviifolia</v>
      </c>
      <c r="E34" s="496" t="e">
        <f aca="false">IF(D34="",0,VLOOKUP(D34,D$22:D33,1,0))</f>
        <v>#N/A</v>
      </c>
      <c r="F34" s="500" t="n">
        <f aca="false">($B34*$B$7+$C34*$C$7)/100</f>
        <v>0.0059</v>
      </c>
      <c r="G34" s="479" t="str">
        <f aca="false">IF(A34="","",IF(ISERROR(VLOOKUP($A34,'liste reference'!$A$7:$P$904,13,0)),IF(ISERROR(VLOOKUP($A34,'liste reference'!$B$7:$P$904,12,0)),"    -",VLOOKUP($A34,'liste reference'!$B$7:$P$904,12,0)),VLOOKUP($A34,'liste reference'!$A$7:$P$904,13,0)))</f>
        <v>BRh</v>
      </c>
      <c r="H34" s="480" t="n">
        <f aca="false">IF(A34="","x",IF(ISERROR(VLOOKUP($A34,'liste reference'!$A$8:$P$904,14,0)),IF(ISERROR(VLOOKUP($A34,'liste reference'!$B$8:$P$904,13,0)),"x",VLOOKUP($A34,'liste reference'!$B$8:$P$904,13,0)),VLOOKUP($A34,'liste reference'!$A$8:$P$904,14,0)))</f>
        <v>4</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Pellia endiviifolia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1197</v>
      </c>
      <c r="Q34" s="486" t="n">
        <f aca="false">IF(ISTEXT(H34),"",(B34*$B$7/100)+(C34*$C$7/100))</f>
        <v>0.0059</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PELEND</v>
      </c>
      <c r="Z34" s="280" t="n">
        <f aca="false">IF(ISERROR(MATCH(A34,'liste reference'!$A$8:$A$904,0)),IF(ISERROR(MATCH(A34,'liste reference'!$B$8:$B$904,0)),"",(MATCH(A34,'liste reference'!$B$8:$B$904,0))),(MATCH(A34,'liste reference'!$A$8:$A$904,0)))</f>
        <v>120</v>
      </c>
      <c r="AA34" s="491"/>
      <c r="AB34" s="492"/>
      <c r="AC34" s="492"/>
      <c r="BB34" s="280" t="n">
        <f aca="false">IF(A34="","",1)</f>
        <v>1</v>
      </c>
    </row>
    <row r="35" customFormat="false" ht="12.75" hidden="false" customHeight="false" outlineLevel="0" collapsed="false">
      <c r="A35" s="493" t="s">
        <v>760</v>
      </c>
      <c r="B35" s="494" t="n">
        <v>0.01</v>
      </c>
      <c r="C35" s="495" t="n">
        <v>0.005</v>
      </c>
      <c r="D35" s="477" t="str">
        <f aca="false">IF(ISERROR(VLOOKUP($A35,'liste reference'!$A$7:$D$904,2,0)),IF(ISERROR(VLOOKUP($A35,'liste reference'!$B$7:$D$904,1,0)),"",VLOOKUP($A35,'liste reference'!$B$7:$D$904,1,0)),VLOOKUP($A35,'liste reference'!$A$7:$D$904,2,0))</f>
        <v>Cratoneuron commutatum</v>
      </c>
      <c r="E35" s="496" t="e">
        <f aca="false">IF(D35="",0,VLOOKUP(D35,D$22:D34,1,0))</f>
        <v>#N/A</v>
      </c>
      <c r="F35" s="500" t="n">
        <f aca="false">($B35*$B$7+$C35*$C$7)/100</f>
        <v>0.0091</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15</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Cratoneuron commutatum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1232</v>
      </c>
      <c r="Q35" s="486" t="n">
        <f aca="false">IF(ISTEXT(H35),"",(B35*$B$7/100)+(C35*$C$7/100))</f>
        <v>0.0091</v>
      </c>
      <c r="R35" s="487" t="n">
        <f aca="false">IF(OR(ISTEXT(H35),Q35=0),"",IF(Q35&lt;0.1,1,IF(Q35&lt;1,2,IF(Q35&lt;10,3,IF(Q35&lt;50,4,IF(Q35&gt;=50,5,""))))))</f>
        <v>1</v>
      </c>
      <c r="S35" s="487" t="n">
        <f aca="false">IF(ISERROR(R35*I35),0,R35*I35)</f>
        <v>15</v>
      </c>
      <c r="T35" s="487" t="n">
        <f aca="false">IF(ISERROR(R35*I35*J35),0,R35*I35*J35)</f>
        <v>30</v>
      </c>
      <c r="U35" s="499" t="n">
        <f aca="false">IF(ISERROR(R35*J35),0,R35*J35)</f>
        <v>2</v>
      </c>
      <c r="V35" s="488" t="str">
        <f aca="false">IF(AND(A35="",F35=0),"",IF(F35=0,"Il manque le(s) % de rec. !",""))</f>
        <v/>
      </c>
      <c r="W35" s="489"/>
      <c r="Y35" s="490" t="str">
        <f aca="false">IF(A35="new.cod","NEWCOD",IF(AND((Z35=""),ISTEXT(A35)),A35,IF(Z35="","",INDEX('liste reference'!$A$8:$A$904,Z35))))</f>
        <v>CRACOM</v>
      </c>
      <c r="Z35" s="280" t="n">
        <f aca="false">IF(ISERROR(MATCH(A35,'liste reference'!$A$8:$A$904,0)),IF(ISERROR(MATCH(A35,'liste reference'!$B$8:$B$904,0)),"",(MATCH(A35,'liste reference'!$B$8:$B$904,0))),(MATCH(A35,'liste reference'!$A$8:$A$904,0)))</f>
        <v>177</v>
      </c>
      <c r="AA35" s="491"/>
      <c r="AB35" s="492"/>
      <c r="AC35" s="492"/>
      <c r="BB35" s="280" t="n">
        <f aca="false">IF(A35="","",1)</f>
        <v>1</v>
      </c>
    </row>
    <row r="36" customFormat="false" ht="12.75" hidden="false" customHeight="false" outlineLevel="0" collapsed="false">
      <c r="A36" s="493" t="s">
        <v>821</v>
      </c>
      <c r="B36" s="494"/>
      <c r="C36" s="495" t="n">
        <v>0.005</v>
      </c>
      <c r="D36" s="477" t="str">
        <f aca="false">IF(ISERROR(VLOOKUP($A36,'liste reference'!$A$7:$D$904,2,0)),IF(ISERROR(VLOOKUP($A36,'liste reference'!$B$7:$D$904,1,0)),"",VLOOKUP($A36,'liste reference'!$B$7:$D$904,1,0)),VLOOKUP($A36,'liste reference'!$A$7:$D$904,2,0))</f>
        <v>Eucladium verticillatum</v>
      </c>
      <c r="E36" s="496" t="e">
        <f aca="false">IF(D36="",0,VLOOKUP(D36,D$22:D35,1,0))</f>
        <v>#N/A</v>
      </c>
      <c r="F36" s="500" t="n">
        <f aca="false">($B36*$B$7+$C36*$C$7)/100</f>
        <v>0.0009</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Eucladium verticillatum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19654</v>
      </c>
      <c r="Q36" s="486" t="n">
        <f aca="false">IF(ISTEXT(H36),"",(B36*$B$7/100)+(C36*$C$7/100))</f>
        <v>0.0009</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EUCVER</v>
      </c>
      <c r="Z36" s="280" t="n">
        <f aca="false">IF(ISERROR(MATCH(A36,'liste reference'!$A$8:$A$904,0)),IF(ISERROR(MATCH(A36,'liste reference'!$B$8:$B$904,0)),"",(MATCH(A36,'liste reference'!$B$8:$B$904,0))),(MATCH(A36,'liste reference'!$A$8:$A$904,0)))</f>
        <v>191</v>
      </c>
      <c r="AA36" s="491"/>
      <c r="AB36" s="492"/>
      <c r="AC36" s="492"/>
      <c r="BB36" s="280" t="n">
        <f aca="false">IF(A36="","",1)</f>
        <v>1</v>
      </c>
    </row>
    <row r="37" customFormat="false" ht="12.75" hidden="false" customHeight="false" outlineLevel="0" collapsed="false">
      <c r="A37" s="493" t="s">
        <v>852</v>
      </c>
      <c r="B37" s="494" t="n">
        <v>0.005</v>
      </c>
      <c r="C37" s="495"/>
      <c r="D37" s="477" t="str">
        <f aca="false">IF(ISERROR(VLOOKUP($A37,'liste reference'!$A$7:$D$904,2,0)),IF(ISERROR(VLOOKUP($A37,'liste reference'!$B$7:$D$904,1,0)),"",VLOOKUP($A37,'liste reference'!$B$7:$D$904,1,0)),VLOOKUP($A37,'liste reference'!$A$7:$D$904,2,0))</f>
        <v>Fissidens crassipes</v>
      </c>
      <c r="E37" s="496" t="e">
        <f aca="false">IF(D37="",0,VLOOKUP(D37,D$22:D36,1,0))</f>
        <v>#N/A</v>
      </c>
      <c r="F37" s="500" t="n">
        <f aca="false">($B37*$B$7+$C37*$C$7)/100</f>
        <v>0.0041</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Fissidens crassipes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1294</v>
      </c>
      <c r="Q37" s="486" t="n">
        <f aca="false">IF(ISTEXT(H37),"",(B37*$B$7/100)+(C37*$C$7/100))</f>
        <v>0.0041</v>
      </c>
      <c r="R37" s="487" t="n">
        <f aca="false">IF(OR(ISTEXT(H37),Q37=0),"",IF(Q37&lt;0.1,1,IF(Q37&lt;1,2,IF(Q37&lt;10,3,IF(Q37&lt;50,4,IF(Q37&gt;=50,5,""))))))</f>
        <v>1</v>
      </c>
      <c r="S37" s="487" t="n">
        <f aca="false">IF(ISERROR(R37*I37),0,R37*I37)</f>
        <v>12</v>
      </c>
      <c r="T37" s="487" t="n">
        <f aca="false">IF(ISERROR(R37*I37*J37),0,R37*I37*J37)</f>
        <v>24</v>
      </c>
      <c r="U37" s="499" t="n">
        <f aca="false">IF(ISERROR(R37*J37),0,R37*J37)</f>
        <v>2</v>
      </c>
      <c r="V37" s="488" t="str">
        <f aca="false">IF(AND(A37="",F37=0),"",IF(F37=0,"Il manque le(s) % de rec. !",""))</f>
        <v/>
      </c>
      <c r="W37" s="489"/>
      <c r="Y37" s="490" t="str">
        <f aca="false">IF(A37="new.cod","NEWCOD",IF(AND((Z37=""),ISTEXT(A37)),A37,IF(Z37="","",INDEX('liste reference'!$A$8:$A$904,Z37))))</f>
        <v>FISCRA</v>
      </c>
      <c r="Z37" s="280" t="n">
        <f aca="false">IF(ISERROR(MATCH(A37,'liste reference'!$A$8:$A$904,0)),IF(ISERROR(MATCH(A37,'liste reference'!$B$8:$B$904,0)),"",(MATCH(A37,'liste reference'!$B$8:$B$904,0))),(MATCH(A37,'liste reference'!$A$8:$A$904,0)))</f>
        <v>197</v>
      </c>
      <c r="AA37" s="491"/>
      <c r="AB37" s="492"/>
      <c r="AC37" s="492"/>
      <c r="BB37" s="280" t="n">
        <f aca="false">IF(A37="","",1)</f>
        <v>1</v>
      </c>
    </row>
    <row r="38" customFormat="false" ht="12.75" hidden="false" customHeight="false" outlineLevel="0" collapsed="false">
      <c r="A38" s="493" t="s">
        <v>1153</v>
      </c>
      <c r="B38" s="494" t="n">
        <v>0.005</v>
      </c>
      <c r="C38" s="495" t="n">
        <v>0.01</v>
      </c>
      <c r="D38" s="477" t="str">
        <f aca="false">IF(ISERROR(VLOOKUP($A38,'liste reference'!$A$7:$D$904,2,0)),IF(ISERROR(VLOOKUP($A38,'liste reference'!$B$7:$D$904,1,0)),"",VLOOKUP($A38,'liste reference'!$B$7:$D$904,1,0)),VLOOKUP($A38,'liste reference'!$A$7:$D$904,2,0))</f>
        <v>Equisetum arvense</v>
      </c>
      <c r="E38" s="496" t="e">
        <f aca="false">IF(D38="",0,VLOOKUP(D38,D$22:D37,1,0))</f>
        <v>#N/A</v>
      </c>
      <c r="F38" s="500" t="n">
        <f aca="false">($B38*$B$7+$C38*$C$7)/100</f>
        <v>0.0059</v>
      </c>
      <c r="G38" s="479" t="str">
        <f aca="false">IF(A38="","",IF(ISERROR(VLOOKUP($A38,'liste reference'!$A$7:$P$904,13,0)),IF(ISERROR(VLOOKUP($A38,'liste reference'!$B$7:$P$904,12,0)),"    -",VLOOKUP($A38,'liste reference'!$B$7:$P$904,12,0)),VLOOKUP($A38,'liste reference'!$A$7:$P$904,13,0)))</f>
        <v>PTE</v>
      </c>
      <c r="H38" s="480" t="n">
        <f aca="false">IF(A38="","x",IF(ISERROR(VLOOKUP($A38,'liste reference'!$A$8:$P$904,14,0)),IF(ISERROR(VLOOKUP($A38,'liste reference'!$B$8:$P$904,13,0)),"x",VLOOKUP($A38,'liste reference'!$B$8:$P$904,13,0)),VLOOKUP($A38,'liste reference'!$A$8:$P$904,14,0)))</f>
        <v>6</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Equisetum arvense</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1384</v>
      </c>
      <c r="Q38" s="486" t="n">
        <f aca="false">IF(ISTEXT(H38),"",(B38*$B$7/100)+(C38*$C$7/100))</f>
        <v>0.0059</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EQUARV</v>
      </c>
      <c r="Z38" s="280" t="n">
        <f aca="false">IF(ISERROR(MATCH(A38,'liste reference'!$A$8:$A$904,0)),IF(ISERROR(MATCH(A38,'liste reference'!$B$8:$B$904,0)),"",(MATCH(A38,'liste reference'!$B$8:$B$904,0))),(MATCH(A38,'liste reference'!$A$8:$A$904,0)))</f>
        <v>278</v>
      </c>
      <c r="AA38" s="491"/>
      <c r="AB38" s="492"/>
      <c r="AC38" s="492"/>
      <c r="BB38" s="280" t="n">
        <f aca="false">IF(A38="","",1)</f>
        <v>1</v>
      </c>
    </row>
    <row r="39" customFormat="false" ht="12.75" hidden="false" customHeight="false" outlineLevel="0" collapsed="false">
      <c r="A39" s="493" t="s">
        <v>1310</v>
      </c>
      <c r="B39" s="494"/>
      <c r="C39" s="495" t="n">
        <v>0.005</v>
      </c>
      <c r="D39" s="477" t="str">
        <f aca="false">IF(ISERROR(VLOOKUP($A39,'liste reference'!$A$7:$D$904,2,0)),IF(ISERROR(VLOOKUP($A39,'liste reference'!$B$7:$D$904,1,0)),"",VLOOKUP($A39,'liste reference'!$B$7:$D$904,1,0)),VLOOKUP($A39,'liste reference'!$A$7:$D$904,2,0))</f>
        <v>Groenlandia densa</v>
      </c>
      <c r="E39" s="496" t="e">
        <f aca="false">IF(D39="",0,VLOOKUP(D39,D$22:D32,1,0))</f>
        <v>#N/A</v>
      </c>
      <c r="F39" s="500" t="n">
        <f aca="false">($B39*$B$7+$C39*$C$7)/100</f>
        <v>0.0009</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11</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Groenlandia densa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1638</v>
      </c>
      <c r="Q39" s="486" t="n">
        <f aca="false">IF(ISTEXT(H39),"",(B39*$B$7/100)+(C39*$C$7/100))</f>
        <v>0.0009</v>
      </c>
      <c r="R39" s="487" t="n">
        <f aca="false">IF(OR(ISTEXT(H39),Q39=0),"",IF(Q39&lt;0.1,1,IF(Q39&lt;1,2,IF(Q39&lt;10,3,IF(Q39&lt;50,4,IF(Q39&gt;=50,5,""))))))</f>
        <v>1</v>
      </c>
      <c r="S39" s="487" t="n">
        <f aca="false">IF(ISERROR(R39*I39),0,R39*I39)</f>
        <v>11</v>
      </c>
      <c r="T39" s="487" t="n">
        <f aca="false">IF(ISERROR(R39*I39*J39),0,R39*I39*J39)</f>
        <v>22</v>
      </c>
      <c r="U39" s="499" t="n">
        <f aca="false">IF(ISERROR(R39*J39),0,R39*J39)</f>
        <v>2</v>
      </c>
      <c r="V39" s="488" t="str">
        <f aca="false">IF(AND(A39="",F39=0),"",IF(F39=0,"Il manque le(s) % de rec. !",""))</f>
        <v/>
      </c>
      <c r="W39" s="489"/>
      <c r="Y39" s="490" t="str">
        <f aca="false">IF(A39="new.cod","NEWCOD",IF(AND((Z39=""),ISTEXT(A39)),A39,IF(Z39="","",INDEX('liste reference'!$A$8:$A$904,Z39))))</f>
        <v>GRODEN</v>
      </c>
      <c r="Z39" s="280" t="n">
        <f aca="false">IF(ISERROR(MATCH(A39,'liste reference'!$A$8:$A$904,0)),IF(ISERROR(MATCH(A39,'liste reference'!$B$8:$B$904,0)),"",(MATCH(A39,'liste reference'!$B$8:$B$904,0))),(MATCH(A39,'liste reference'!$A$8:$A$904,0)))</f>
        <v>345</v>
      </c>
      <c r="AA39" s="491"/>
      <c r="AB39" s="492"/>
      <c r="AC39" s="492"/>
      <c r="BB39" s="280" t="n">
        <f aca="false">IF(A39="","",1)</f>
        <v>1</v>
      </c>
    </row>
    <row r="40" customFormat="false" ht="12.75" hidden="false" customHeight="false" outlineLevel="0" collapsed="false">
      <c r="A40" s="493" t="s">
        <v>1895</v>
      </c>
      <c r="B40" s="494" t="n">
        <v>0.005</v>
      </c>
      <c r="C40" s="495"/>
      <c r="D40" s="477" t="str">
        <f aca="false">IF(ISERROR(VLOOKUP($A40,'liste reference'!$A$7:$D$904,2,0)),IF(ISERROR(VLOOKUP($A40,'liste reference'!$B$7:$D$904,1,0)),"",VLOOKUP($A40,'liste reference'!$B$7:$D$904,1,0)),VLOOKUP($A40,'liste reference'!$A$7:$D$904,2,0))</f>
        <v>Juncus inflexus</v>
      </c>
      <c r="E40" s="496" t="e">
        <f aca="false">IF(D40="",0,VLOOKUP(D40,D$22:D32,1,0))</f>
        <v>#N/A</v>
      </c>
      <c r="F40" s="500" t="n">
        <f aca="false">($B40*$B$7+$C40*$C$7)/100</f>
        <v>0.0041</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Juncus inflexus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1616</v>
      </c>
      <c r="Q40" s="486" t="n">
        <f aca="false">IF(ISTEXT(H40),"",(B40*$B$7/100)+(C40*$C$7/100))</f>
        <v>0.0041</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JUNINF</v>
      </c>
      <c r="Z40" s="280" t="n">
        <f aca="false">IF(ISERROR(MATCH(A40,'liste reference'!$A$8:$A$904,0)),IF(ISERROR(MATCH(A40,'liste reference'!$B$8:$B$904,0)),"",(MATCH(A40,'liste reference'!$B$8:$B$904,0))),(MATCH(A40,'liste reference'!$A$8:$A$904,0)))</f>
        <v>588</v>
      </c>
      <c r="AA40" s="491"/>
      <c r="AB40" s="492"/>
      <c r="AC40" s="492"/>
      <c r="BB40" s="280" t="n">
        <f aca="false">IF(A40="","",1)</f>
        <v>1</v>
      </c>
    </row>
    <row r="41" customFormat="false" ht="12.75" hidden="false" customHeight="false" outlineLevel="0" collapsed="false">
      <c r="A41" s="493" t="s">
        <v>1913</v>
      </c>
      <c r="B41" s="494" t="n">
        <v>0.005</v>
      </c>
      <c r="C41" s="495"/>
      <c r="D41" s="477" t="str">
        <f aca="false">IF(ISERROR(VLOOKUP($A41,'liste reference'!$A$7:$D$904,2,0)),IF(ISERROR(VLOOKUP($A41,'liste reference'!$B$7:$D$904,1,0)),"",VLOOKUP($A41,'liste reference'!$B$7:$D$904,1,0)),VLOOKUP($A41,'liste reference'!$A$7:$D$904,2,0))</f>
        <v>Lycopus europaeus</v>
      </c>
      <c r="E41" s="496" t="e">
        <f aca="false">IF(D41="",0,VLOOKUP(D41,D$22:D40,1,0))</f>
        <v>#N/A</v>
      </c>
      <c r="F41" s="500" t="n">
        <f aca="false">($B41*$B$7+$C41*$C$7)/100</f>
        <v>0.0041</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Lycopus europaeus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1789</v>
      </c>
      <c r="Q41" s="486" t="n">
        <f aca="false">IF(ISTEXT(H41),"",(B41*$B$7/100)+(C41*$C$7/100))</f>
        <v>0.0041</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LYCEUR</v>
      </c>
      <c r="Z41" s="280" t="n">
        <f aca="false">IF(ISERROR(MATCH(A41,'liste reference'!$A$8:$A$904,0)),IF(ISERROR(MATCH(A41,'liste reference'!$B$8:$B$904,0)),"",(MATCH(A41,'liste reference'!$B$8:$B$904,0))),(MATCH(A41,'liste reference'!$A$8:$A$904,0)))</f>
        <v>596</v>
      </c>
      <c r="AA41" s="491"/>
      <c r="AB41" s="492"/>
      <c r="AC41" s="492"/>
      <c r="BB41" s="280" t="n">
        <f aca="false">IF(A41="","",1)</f>
        <v>1</v>
      </c>
    </row>
    <row r="42" customFormat="false" ht="12.75" hidden="false" customHeight="false" outlineLevel="0" collapsed="false">
      <c r="A42" s="493" t="s">
        <v>1943</v>
      </c>
      <c r="B42" s="494" t="n">
        <v>0.005</v>
      </c>
      <c r="C42" s="495"/>
      <c r="D42" s="477" t="str">
        <f aca="false">IF(ISERROR(VLOOKUP($A42,'liste reference'!$A$7:$D$904,2,0)),IF(ISERROR(VLOOKUP($A42,'liste reference'!$B$7:$D$904,1,0)),"",VLOOKUP($A42,'liste reference'!$B$7:$D$904,1,0)),VLOOKUP($A42,'liste reference'!$A$7:$D$904,2,0))</f>
        <v>Mentha sp.</v>
      </c>
      <c r="E42" s="496" t="e">
        <f aca="false">IF(D42="",0,VLOOKUP(D42,D$22:D41,1,0))</f>
        <v>#N/A</v>
      </c>
      <c r="F42" s="500" t="n">
        <f aca="false">($B42*$B$7+$C42*$C$7)/100</f>
        <v>0.0041</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sp.</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1790</v>
      </c>
      <c r="Q42" s="486" t="n">
        <f aca="false">IF(ISTEXT(H42),"",(B42*$B$7/100)+(C42*$C$7/100))</f>
        <v>0.0041</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MENSPX</v>
      </c>
      <c r="Z42" s="280" t="n">
        <f aca="false">IF(ISERROR(MATCH(A42,'liste reference'!$A$8:$A$904,0)),IF(ISERROR(MATCH(A42,'liste reference'!$B$8:$B$904,0)),"",(MATCH(A42,'liste reference'!$B$8:$B$904,0))),(MATCH(A42,'liste reference'!$A$8:$A$904,0)))</f>
        <v>610</v>
      </c>
      <c r="AA42" s="491"/>
      <c r="AB42" s="492"/>
      <c r="AC42" s="492"/>
      <c r="BB42" s="280" t="n">
        <f aca="false">IF(A42="","",1)</f>
        <v>1</v>
      </c>
    </row>
    <row r="43" customFormat="false" ht="12.75" hidden="false" customHeight="false" outlineLevel="0" collapsed="false">
      <c r="A43" s="493" t="s">
        <v>2096</v>
      </c>
      <c r="B43" s="494" t="n">
        <v>0.1</v>
      </c>
      <c r="C43" s="495" t="n">
        <v>0.005</v>
      </c>
      <c r="D43" s="477" t="str">
        <f aca="false">IF(ISERROR(VLOOKUP($A43,'liste reference'!$A$7:$D$904,2,0)),IF(ISERROR(VLOOKUP($A43,'liste reference'!$B$7:$D$904,1,0)),"",VLOOKUP($A43,'liste reference'!$B$7:$D$904,1,0)),VLOOKUP($A43,'liste reference'!$A$7:$D$904,2,0))</f>
        <v>Typha domingensis</v>
      </c>
      <c r="E43" s="496" t="e">
        <f aca="false">IF(D43="",0,VLOOKUP(D43,D$22:D42,1,0))</f>
        <v>#N/A</v>
      </c>
      <c r="F43" s="500" t="n">
        <f aca="false">($B43*$B$7+$C43*$C$7)/100</f>
        <v>0.0829</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Typha domingensis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19723</v>
      </c>
      <c r="Q43" s="486" t="n">
        <f aca="false">IF(ISTEXT(H43),"",(B43*$B$7/100)+(C43*$C$7/100))</f>
        <v>0.0829</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TYPDOM</v>
      </c>
      <c r="Z43" s="280" t="n">
        <f aca="false">IF(ISERROR(MATCH(A43,'liste reference'!$A$8:$A$904,0)),IF(ISERROR(MATCH(A43,'liste reference'!$B$8:$B$904,0)),"",(MATCH(A43,'liste reference'!$B$8:$B$904,0))),(MATCH(A43,'liste reference'!$A$8:$A$904,0)))</f>
        <v>676</v>
      </c>
      <c r="AA43" s="491"/>
      <c r="AB43" s="492"/>
      <c r="AC43" s="492"/>
      <c r="BB43" s="280" t="n">
        <f aca="false">IF(A43="","",1)</f>
        <v>1</v>
      </c>
    </row>
    <row r="44" customFormat="false" ht="12.75" hidden="false" customHeight="false" outlineLevel="0" collapsed="false">
      <c r="A44" s="493" t="s">
        <v>2307</v>
      </c>
      <c r="B44" s="494" t="n">
        <v>0.005</v>
      </c>
      <c r="C44" s="495"/>
      <c r="D44" s="477" t="str">
        <f aca="false">IF(ISERROR(VLOOKUP($A44,'liste reference'!$A$7:$D$904,2,0)),IF(ISERROR(VLOOKUP($A44,'liste reference'!$B$7:$D$904,1,0)),"",VLOOKUP($A44,'liste reference'!$B$7:$D$904,1,0)),VLOOKUP($A44,'liste reference'!$A$7:$D$904,2,0))</f>
        <v>Juncus articulatus</v>
      </c>
      <c r="E44" s="496" t="e">
        <f aca="false">IF(D44="",0,VLOOKUP(D44,D$22:D43,1,0))</f>
        <v>#N/A</v>
      </c>
      <c r="F44" s="500" t="n">
        <f aca="false">($B44*$B$7+$C44*$C$7)/100</f>
        <v>0.0041</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Juncus articulatus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1609</v>
      </c>
      <c r="Q44" s="486" t="n">
        <f aca="false">IF(ISTEXT(H44),"",(B44*$B$7/100)+(C44*$C$7/100))</f>
        <v>0.0041</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JUNART</v>
      </c>
      <c r="Z44" s="280" t="n">
        <f aca="false">IF(ISERROR(MATCH(A44,'liste reference'!$A$8:$A$904,0)),IF(ISERROR(MATCH(A44,'liste reference'!$B$8:$B$904,0)),"",(MATCH(A44,'liste reference'!$B$8:$B$904,0))),(MATCH(A44,'liste reference'!$A$8:$A$904,0)))</f>
        <v>768</v>
      </c>
      <c r="AA44" s="491"/>
      <c r="AB44" s="492"/>
      <c r="AC44" s="492"/>
      <c r="BB44" s="280" t="n">
        <f aca="false">IF(A44="","",1)</f>
        <v>1</v>
      </c>
    </row>
    <row r="45" customFormat="false" ht="12.75" hidden="false" customHeight="false" outlineLevel="0" collapsed="false">
      <c r="A45" s="493" t="s">
        <v>2686</v>
      </c>
      <c r="B45" s="494" t="n">
        <v>0.02</v>
      </c>
      <c r="C45" s="495" t="n">
        <v>0.005</v>
      </c>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0.0173</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Equisetum ramosissimum</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1"/>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c r="AB45" s="492" t="s">
        <v>2687</v>
      </c>
      <c r="AC45" s="492"/>
      <c r="BB45" s="280" t="n">
        <f aca="false">IF(A45="","",1)</f>
        <v>1</v>
      </c>
    </row>
    <row r="46" customFormat="false" ht="12.75" hidden="false" customHeight="false" outlineLevel="0" collapsed="false">
      <c r="A46" s="493" t="s">
        <v>2688</v>
      </c>
      <c r="B46" s="494" t="n">
        <v>0.005</v>
      </c>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0.0041</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Tussilago farfara</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2689</v>
      </c>
      <c r="AC46" s="492"/>
      <c r="BB46" s="280" t="n">
        <f aca="false">IF(A46="","",1)</f>
        <v>1</v>
      </c>
    </row>
    <row r="47" customFormat="false" ht="12.75" hidden="false" customHeight="false" outlineLevel="0" collapsed="false">
      <c r="A47" s="493" t="s">
        <v>2686</v>
      </c>
      <c r="B47" s="494" t="n">
        <v>0.01</v>
      </c>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0.0082</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Molinia caerulea ssp arundinacea</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2690</v>
      </c>
      <c r="AC47" s="492"/>
      <c r="BB47" s="280" t="n">
        <f aca="false">IF(A47="","",1)</f>
        <v>1</v>
      </c>
    </row>
    <row r="48" customFormat="false" ht="12.75" hidden="false" customHeight="false" outlineLevel="0" collapsed="false">
      <c r="A48" s="493" t="s">
        <v>2686</v>
      </c>
      <c r="B48" s="494" t="n">
        <v>0.03</v>
      </c>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0.0246</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Didymodon tophaceus</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2691</v>
      </c>
      <c r="AC48" s="492"/>
      <c r="BB48" s="280" t="n">
        <f aca="false">IF(A48="","",1)</f>
        <v>1</v>
      </c>
    </row>
    <row r="49" customFormat="false" ht="12.75" hidden="false" customHeight="false" outlineLevel="0" collapsed="false">
      <c r="A49" s="493" t="s">
        <v>2686</v>
      </c>
      <c r="B49" s="494" t="n">
        <v>0.02</v>
      </c>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0.0164</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Pohlia sp.</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2692</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Esteron</v>
      </c>
      <c r="B84" s="529" t="str">
        <f aca="false">C3</f>
        <v>Gilette-La Clave</v>
      </c>
      <c r="C84" s="530" t="n">
        <f aca="false">A4</f>
        <v>41507</v>
      </c>
      <c r="D84" s="531" t="n">
        <f aca="false">IF(ISERROR(SUM($T$23:$T$82)/SUM($U$23:$U$82)),"",SUM($T$23:$T$82)/SUM($U$23:$U$82))</f>
        <v>11.0416666666667</v>
      </c>
      <c r="E84" s="532" t="n">
        <f aca="false">N13</f>
        <v>27</v>
      </c>
      <c r="F84" s="529" t="n">
        <f aca="false">N14</f>
        <v>22</v>
      </c>
      <c r="G84" s="529" t="n">
        <f aca="false">N15</f>
        <v>7</v>
      </c>
      <c r="H84" s="529" t="n">
        <f aca="false">N16</f>
        <v>6</v>
      </c>
      <c r="I84" s="529" t="n">
        <f aca="false">N17</f>
        <v>1</v>
      </c>
      <c r="J84" s="533" t="n">
        <f aca="false">N8</f>
        <v>6.68181818181818</v>
      </c>
      <c r="K84" s="531" t="n">
        <f aca="false">N9</f>
        <v>5.83396297270922</v>
      </c>
      <c r="L84" s="532" t="n">
        <f aca="false">N10</f>
        <v>0</v>
      </c>
      <c r="M84" s="532" t="n">
        <f aca="false">N11</f>
        <v>19</v>
      </c>
      <c r="N84" s="531" t="n">
        <f aca="false">O8</f>
        <v>1</v>
      </c>
      <c r="O84" s="531" t="n">
        <f aca="false">O9</f>
        <v>0.904534033733291</v>
      </c>
      <c r="P84" s="532" t="n">
        <f aca="false">O10</f>
        <v>0</v>
      </c>
      <c r="Q84" s="532" t="n">
        <f aca="false">O11</f>
        <v>3</v>
      </c>
      <c r="R84" s="532" t="n">
        <f aca="false">F21</f>
        <v>1.213</v>
      </c>
      <c r="S84" s="532" t="n">
        <f aca="false">K11</f>
        <v>0</v>
      </c>
      <c r="T84" s="532" t="n">
        <f aca="false">K12</f>
        <v>10</v>
      </c>
      <c r="U84" s="532" t="n">
        <f aca="false">K13</f>
        <v>5</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2694</v>
      </c>
      <c r="R86" s="280"/>
      <c r="S86" s="488"/>
      <c r="T86" s="280"/>
      <c r="U86" s="280"/>
      <c r="V86" s="280"/>
    </row>
    <row r="87" customFormat="false" ht="12.75" hidden="true" customHeight="false" outlineLevel="0" collapsed="false">
      <c r="P87" s="280"/>
      <c r="Q87" s="280" t="s">
        <v>2695</v>
      </c>
      <c r="R87" s="280"/>
      <c r="S87" s="488" t="n">
        <f aca="false">VLOOKUP(MAX($S$23:$S$82),($S$23:$U$82),1,0)</f>
        <v>20</v>
      </c>
      <c r="T87" s="280"/>
      <c r="U87" s="280"/>
      <c r="V87" s="280"/>
    </row>
    <row r="88" customFormat="false" ht="12.75" hidden="true" customHeight="false" outlineLevel="0" collapsed="false">
      <c r="P88" s="280"/>
      <c r="Q88" s="280" t="s">
        <v>2696</v>
      </c>
      <c r="R88" s="280"/>
      <c r="S88" s="488" t="n">
        <f aca="false">VLOOKUP((S87),($S$23:$U$82),2,0)</f>
        <v>20</v>
      </c>
      <c r="T88" s="280"/>
      <c r="U88" s="280"/>
      <c r="V88" s="280"/>
    </row>
    <row r="89" customFormat="false" ht="12.75" hidden="true" customHeight="false" outlineLevel="0" collapsed="false">
      <c r="Q89" s="280" t="s">
        <v>2697</v>
      </c>
      <c r="R89" s="280"/>
      <c r="S89" s="488" t="n">
        <f aca="false">VLOOKUP((S87),($S$23:$U$82),3,0)</f>
        <v>2</v>
      </c>
      <c r="T89" s="280"/>
    </row>
    <row r="90" customFormat="false" ht="12.75" hidden="false" customHeight="false" outlineLevel="0" collapsed="false">
      <c r="Q90" s="280" t="s">
        <v>2698</v>
      </c>
      <c r="R90" s="280"/>
      <c r="S90" s="538" t="n">
        <f aca="false">IF(ISERROR(SUM($T$23:$T$82)/SUM($U$23:$U$82)),"",(SUM($T$23:$T$82)-S88)/(SUM($U$23:$U$82)-S89))</f>
        <v>11.1363636363636</v>
      </c>
      <c r="T90" s="280"/>
    </row>
    <row r="91" customFormat="false" ht="12.75" hidden="false" customHeight="false" outlineLevel="0" collapsed="false">
      <c r="Q91" s="487" t="s">
        <v>2699</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2700</v>
      </c>
      <c r="R92" s="280"/>
      <c r="S92" s="280" t="n">
        <f aca="false">MATCH(S87,$S$23:$S$82,0)</f>
        <v>8</v>
      </c>
      <c r="T92" s="280"/>
    </row>
    <row r="93" customFormat="false" ht="12.75" hidden="false" customHeight="false" outlineLevel="0" collapsed="false">
      <c r="Q93" s="487" t="s">
        <v>2701</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M3">
    <cfRule type="cellIs" priority="20" operator="between" aboveAverage="0" equalAverage="0" bottom="0" percent="0" rank="0" text="" dxfId="29">
      <formula>"(Dossier, type réseau)"</formula>
      <formula>"(Dossier, type réseau)"</formula>
    </cfRule>
    <cfRule type="cellIs" priority="21" operator="notBetween" aboveAverage="0" equalAverage="0" bottom="0" percent="0" rank="0" text="" dxfId="30">
      <formula>"(Dossier, type réseau)"</formula>
      <formula>"(Dossier, type réseau)"</formula>
    </cfRule>
  </conditionalFormatting>
  <conditionalFormatting sqref="K23:K82">
    <cfRule type="cellIs" priority="22" operator="equal" aboveAverage="0" equalAverage="0" bottom="0" percent="0" rank="0" text="" dxfId="31">
      <formula>"Remplir le champs 'Nouveau taxa' svp."</formula>
    </cfRule>
  </conditionalFormatting>
  <conditionalFormatting sqref="P23:P82">
    <cfRule type="cellIs" priority="23" operator="equal" aboveAverage="0" equalAverage="0" bottom="0" percent="0" rank="0" text="" dxfId="32">
      <formula>"code non répertorié ou synonyme"</formula>
    </cfRule>
    <cfRule type="expression" priority="24" aboveAverage="0" equalAverage="0" bottom="0" percent="0" rank="0" text="" dxfId="33">
      <formula>AND($I23="",$J23="")</formula>
    </cfRule>
    <cfRule type="cellIs" priority="25" operator="equal" aboveAverage="0" equalAverage="0" bottom="0" percent="0" rank="0" text="" dxfId="34">
      <formula>"DEJA SAISI !"</formula>
    </cfRule>
  </conditionalFormatting>
  <conditionalFormatting sqref="C2">
    <cfRule type="cellIs" priority="26" operator="between" aboveAverage="0" equalAverage="0" bottom="0" percent="0" rank="0" text="" dxfId="35">
      <formula>"(Opérateurs)"</formula>
      <formula>"(Opérateurs)"</formula>
    </cfRule>
    <cfRule type="cellIs" priority="27" operator="notBetween" aboveAverage="0" equalAverage="0" bottom="0" percent="0" rank="0" text="" dxfId="36">
      <formula>"(Opérateurs)"</formula>
      <formula>"(Opérateurs)"</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2702</v>
      </c>
      <c r="B2" s="284"/>
      <c r="C2" s="285" t="s">
        <v>2703</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2704</v>
      </c>
      <c r="B3" s="284"/>
      <c r="C3" s="283" t="s">
        <v>2705</v>
      </c>
      <c r="D3" s="294"/>
      <c r="E3" s="294"/>
      <c r="F3" s="295"/>
      <c r="G3" s="295"/>
      <c r="H3" s="296"/>
      <c r="I3" s="297"/>
      <c r="J3" s="296"/>
      <c r="K3" s="298" t="s">
        <v>2706</v>
      </c>
      <c r="L3" s="299"/>
      <c r="M3" s="300" t="s">
        <v>2707</v>
      </c>
      <c r="N3" s="301"/>
      <c r="O3" s="301"/>
      <c r="P3" s="302"/>
      <c r="Q3" s="280"/>
      <c r="R3" s="280"/>
      <c r="S3" s="280"/>
      <c r="T3" s="280"/>
      <c r="U3" s="280"/>
      <c r="V3" s="280"/>
      <c r="W3" s="292"/>
      <c r="X3" s="293"/>
    </row>
    <row r="4" customFormat="false" ht="13.5" hidden="false" customHeight="false" outlineLevel="0" collapsed="false">
      <c r="A4" s="303" t="s">
        <v>2708</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2694</v>
      </c>
      <c r="R86" s="280"/>
      <c r="S86" s="488"/>
      <c r="T86" s="280"/>
      <c r="U86" s="280"/>
      <c r="V86" s="280"/>
    </row>
    <row r="87" customFormat="false" ht="12.75" hidden="true" customHeight="false" outlineLevel="0" collapsed="false">
      <c r="P87" s="280"/>
      <c r="Q87" s="280" t="s">
        <v>2695</v>
      </c>
      <c r="R87" s="280"/>
      <c r="S87" s="488" t="n">
        <f aca="false">VLOOKUP(MAX($S$23:$S$82),($S$23:$U$82),1,0)</f>
        <v>0</v>
      </c>
      <c r="T87" s="280"/>
      <c r="U87" s="280"/>
      <c r="V87" s="280"/>
    </row>
    <row r="88" customFormat="false" ht="12.75" hidden="true" customHeight="false" outlineLevel="0" collapsed="false">
      <c r="P88" s="280"/>
      <c r="Q88" s="280" t="s">
        <v>2696</v>
      </c>
      <c r="R88" s="280"/>
      <c r="S88" s="488" t="n">
        <f aca="false">VLOOKUP((S87),($S$23:$U$82),2,0)</f>
        <v>0</v>
      </c>
      <c r="T88" s="280"/>
      <c r="U88" s="280"/>
      <c r="V88" s="280"/>
    </row>
    <row r="89" customFormat="false" ht="12.75" hidden="true" customHeight="false" outlineLevel="0" collapsed="false">
      <c r="Q89" s="280" t="s">
        <v>2697</v>
      </c>
      <c r="R89" s="280"/>
      <c r="S89" s="488" t="n">
        <f aca="false">VLOOKUP((S87),($S$23:$U$82),3,0)</f>
        <v>0</v>
      </c>
      <c r="T89" s="280"/>
    </row>
    <row r="90" customFormat="false" ht="12.75" hidden="false" customHeight="false" outlineLevel="0" collapsed="false">
      <c r="Q90" s="280" t="s">
        <v>2698</v>
      </c>
      <c r="R90" s="280"/>
      <c r="S90" s="538" t="str">
        <f aca="false">IF(ISERROR(SUM($T$23:$T$82)/SUM($U$23:$U$82)),"",(SUM($T$23:$T$82)-S88)/(SUM($U$23:$U$82)-S89))</f>
        <v/>
      </c>
      <c r="T90" s="280"/>
    </row>
    <row r="91" customFormat="false" ht="12.75" hidden="false" customHeight="false" outlineLevel="0" collapsed="false">
      <c r="Q91" s="487" t="s">
        <v>2699</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2700</v>
      </c>
      <c r="R92" s="280"/>
      <c r="S92" s="280" t="n">
        <f aca="false">MATCH(S87,$S$23:$S$82,0)</f>
        <v>1</v>
      </c>
      <c r="T92" s="280"/>
    </row>
    <row r="93" customFormat="false" ht="12.75" hidden="false" customHeight="false" outlineLevel="0" collapsed="false">
      <c r="Q93" s="487" t="s">
        <v>2701</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2709</v>
      </c>
      <c r="B1" s="549"/>
      <c r="C1" s="549"/>
      <c r="D1" s="549"/>
    </row>
    <row r="2" customFormat="false" ht="15" hidden="false" customHeight="false" outlineLevel="0" collapsed="false">
      <c r="A2" s="550" t="s">
        <v>2710</v>
      </c>
      <c r="B2" s="551"/>
      <c r="C2" s="552"/>
      <c r="D2" s="552"/>
    </row>
    <row r="3" customFormat="false" ht="15.75" hidden="false" customHeight="false" outlineLevel="0" collapsed="false">
      <c r="A3" s="550" t="s">
        <v>2711</v>
      </c>
      <c r="B3" s="551"/>
      <c r="C3" s="552"/>
      <c r="D3" s="553" t="s">
        <v>2712</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2713</v>
      </c>
      <c r="G15" s="571"/>
      <c r="H15" s="572" t="s">
        <v>2714</v>
      </c>
      <c r="I15" s="571"/>
    </row>
    <row r="16" customFormat="false" ht="15" hidden="false" customHeight="false" outlineLevel="0" collapsed="false">
      <c r="A16" s="567" t="s">
        <v>1708</v>
      </c>
      <c r="B16" s="566" t="s">
        <v>1709</v>
      </c>
      <c r="C16" s="568"/>
      <c r="D16" s="569"/>
      <c r="F16" s="573" t="s">
        <v>2715</v>
      </c>
      <c r="G16" s="574"/>
      <c r="H16" s="573" t="s">
        <v>2715</v>
      </c>
      <c r="I16" s="575"/>
    </row>
    <row r="17" customFormat="false" ht="15" hidden="false" customHeight="false" outlineLevel="0" collapsed="false">
      <c r="A17" s="565" t="s">
        <v>2127</v>
      </c>
      <c r="B17" s="566" t="s">
        <v>2128</v>
      </c>
      <c r="C17" s="568"/>
      <c r="D17" s="569"/>
      <c r="F17" s="576" t="s">
        <v>2716</v>
      </c>
      <c r="G17" s="577"/>
      <c r="H17" s="576" t="s">
        <v>2716</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2717</v>
      </c>
      <c r="G19" s="577"/>
      <c r="H19" s="576" t="s">
        <v>2717</v>
      </c>
      <c r="I19" s="578"/>
    </row>
    <row r="20" customFormat="false" ht="15" hidden="false" customHeight="false" outlineLevel="0" collapsed="false">
      <c r="A20" s="567" t="s">
        <v>1714</v>
      </c>
      <c r="B20" s="566" t="s">
        <v>1715</v>
      </c>
      <c r="C20" s="568"/>
      <c r="D20" s="569"/>
      <c r="F20" s="576" t="s">
        <v>2718</v>
      </c>
      <c r="G20" s="577"/>
      <c r="H20" s="576" t="s">
        <v>2718</v>
      </c>
      <c r="I20" s="578"/>
    </row>
    <row r="21" customFormat="false" ht="15" hidden="false" customHeight="false" outlineLevel="0" collapsed="false">
      <c r="A21" s="567" t="s">
        <v>1720</v>
      </c>
      <c r="B21" s="566" t="s">
        <v>1721</v>
      </c>
      <c r="C21" s="568"/>
      <c r="D21" s="569"/>
      <c r="F21" s="576" t="s">
        <v>2719</v>
      </c>
      <c r="G21" s="577"/>
      <c r="H21" s="576" t="s">
        <v>2719</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2720</v>
      </c>
      <c r="G23" s="577"/>
      <c r="H23" s="576" t="s">
        <v>2720</v>
      </c>
      <c r="I23" s="578"/>
    </row>
    <row r="24" customFormat="false" ht="15" hidden="false" customHeight="false" outlineLevel="0" collapsed="false">
      <c r="A24" s="565" t="s">
        <v>2130</v>
      </c>
      <c r="B24" s="566" t="s">
        <v>2131</v>
      </c>
      <c r="C24" s="568"/>
      <c r="D24" s="569"/>
      <c r="F24" s="576" t="s">
        <v>2721</v>
      </c>
      <c r="G24" s="577"/>
      <c r="H24" s="576" t="s">
        <v>2721</v>
      </c>
      <c r="I24" s="578"/>
    </row>
    <row r="25" customFormat="false" ht="15" hidden="false" customHeight="false" outlineLevel="0" collapsed="false">
      <c r="A25" s="565" t="s">
        <v>2133</v>
      </c>
      <c r="B25" s="566" t="s">
        <v>2134</v>
      </c>
      <c r="C25" s="568"/>
      <c r="D25" s="569"/>
      <c r="F25" s="579" t="s">
        <v>2722</v>
      </c>
      <c r="G25" s="580"/>
      <c r="H25" s="579" t="s">
        <v>2722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2723</v>
      </c>
    </row>
    <row r="35" customFormat="false" ht="15" hidden="false" customHeight="false" outlineLevel="0" collapsed="false">
      <c r="A35" s="565" t="s">
        <v>52</v>
      </c>
      <c r="B35" s="566" t="s">
        <v>53</v>
      </c>
      <c r="C35" s="568"/>
      <c r="D35" s="569"/>
      <c r="F35" s="583" t="s">
        <v>2724</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2725</v>
      </c>
      <c r="C37" s="568"/>
      <c r="D37" s="569"/>
      <c r="F37" s="585" t="s">
        <v>2726</v>
      </c>
    </row>
    <row r="38" customFormat="false" ht="15" hidden="false" customHeight="false" outlineLevel="0" collapsed="false">
      <c r="A38" s="565" t="s">
        <v>2145</v>
      </c>
      <c r="B38" s="566" t="s">
        <v>2146</v>
      </c>
      <c r="C38" s="568"/>
      <c r="D38" s="569"/>
      <c r="F38" s="585" t="s">
        <v>2727</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2728</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2729</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2730</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2731</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2732</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2733</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2734</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2014-06-03T09:37:39Z</dcterms:modified>
  <cp:revision>0</cp:revision>
  <dc:subject/>
  <dc:title>Feuille d'aide au calcul de l'IBMR</dc:title>
</cp:coreProperties>
</file>